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eegovg01.sharepoint.com/sites/SISE_EVK/DOKUMENDID/0 Üldine/02 Aruandlus/Kütuse sisearuanne/"/>
    </mc:Choice>
  </mc:AlternateContent>
  <xr:revisionPtr revIDLastSave="464" documentId="8_{2E0D4BAD-1CA4-43C0-9FC8-4A4DD7FFD65C}" xr6:coauthVersionLast="47" xr6:coauthVersionMax="47" xr10:uidLastSave="{A22CAC3C-2EFE-4E0E-9A2D-61B3AD92CC2B}"/>
  <bookViews>
    <workbookView xWindow="46605" yWindow="540" windowWidth="19425" windowHeight="16665" xr2:uid="{00000000-000D-0000-FFFF-FFFF00000000}"/>
  </bookViews>
  <sheets>
    <sheet name="Tarbimisse lubatud" sheetId="1" r:id="rId1"/>
    <sheet name="Tanklate jaemüük" sheetId="4" state="hidden" r:id="rId2"/>
    <sheet name="diislikütus_maakond" sheetId="5" state="hidden" r:id="rId3"/>
    <sheet name="mootoribensiin_maakond" sheetId="6" state="hidden" r:id="rId4"/>
    <sheet name="MTA jaemüük" sheetId="10" r:id="rId5"/>
    <sheet name="MTA koond" sheetId="12" r:id="rId6"/>
    <sheet name="STAT_KE23" sheetId="13" state="hidden" r:id="rId7"/>
    <sheet name="KE0230" sheetId="14" state="hidden" r:id="rId8"/>
  </sheets>
  <externalReferences>
    <externalReference r:id="rId9"/>
  </externalReferences>
  <definedNames>
    <definedName name="___EE_MYYK_LOPPTARBIJALE___">'MTA koond'!$A$2:$J$27</definedName>
    <definedName name="_xlnm._FilterDatabase" localSheetId="1" hidden="1">'Tanklate jaemüük'!$B$5:$C$70</definedName>
    <definedName name="_xlnm._FilterDatabase" localSheetId="0" hidden="1">'Tarbimisse lubatud'!$B$5:$C$200</definedName>
    <definedName name="EMTA_kogus" localSheetId="1">'Tanklate jaemüük'!$V$6:$V$96</definedName>
    <definedName name="EMTA_kogus" localSheetId="0">'Tarbimisse lubatud'!#REF!</definedName>
    <definedName name="Import" localSheetId="1">'Tanklate jaemüük'!$G$6:$G$96</definedName>
    <definedName name="Import" localSheetId="0">'Tarbimisse lubatud'!#REF!</definedName>
    <definedName name="_xlnm.Print_Area" localSheetId="1">'Tanklate jaemüük'!$B$2:$AA$31</definedName>
    <definedName name="_xlnm.Print_Area" localSheetId="0">'Tarbimisse lubatud'!$B$2:$K$148</definedName>
    <definedName name="tab">#REF!</definedName>
    <definedName name="Varu_kogus" localSheetId="1">'Tanklate jaemüük'!$E$6:$E$96</definedName>
    <definedName name="Varu_kogus" localSheetId="0">'Tarbimisse lubatud'!#REF!</definedName>
    <definedName name="Varu_Liik" localSheetId="1">'Tanklate jaemüük'!$C$6:$C$96</definedName>
    <definedName name="Varu_Liik" localSheetId="0">'Tarbimisse lubatud'!$C$9:$C$226</definedName>
    <definedName name="vedelkütused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1" i="1" l="1"/>
  <c r="H252" i="1"/>
  <c r="J265" i="1"/>
  <c r="H239" i="1"/>
  <c r="I252" i="1"/>
  <c r="D148" i="1"/>
  <c r="E148" i="1"/>
  <c r="F148" i="1"/>
  <c r="G148" i="1"/>
  <c r="H148" i="1"/>
  <c r="J148" i="1"/>
  <c r="K148" i="1"/>
  <c r="M88" i="12"/>
  <c r="N88" i="12"/>
  <c r="O88" i="12"/>
  <c r="P88" i="12"/>
  <c r="Q88" i="12"/>
  <c r="R88" i="12"/>
  <c r="M89" i="12"/>
  <c r="N89" i="12"/>
  <c r="O89" i="12"/>
  <c r="P89" i="12"/>
  <c r="Q89" i="12"/>
  <c r="R89" i="12"/>
  <c r="P87" i="12"/>
  <c r="O87" i="12"/>
  <c r="N87" i="12"/>
  <c r="M87" i="12"/>
  <c r="R87" i="12"/>
  <c r="Q87" i="12"/>
  <c r="I265" i="1"/>
  <c r="G265" i="1"/>
  <c r="F265" i="1"/>
  <c r="E265" i="1"/>
  <c r="D265" i="1"/>
  <c r="K264" i="1"/>
  <c r="H264" i="1"/>
  <c r="K263" i="1"/>
  <c r="H263" i="1"/>
  <c r="K262" i="1"/>
  <c r="H262" i="1"/>
  <c r="K261" i="1"/>
  <c r="H261" i="1"/>
  <c r="K260" i="1"/>
  <c r="H260" i="1"/>
  <c r="K259" i="1"/>
  <c r="H259" i="1"/>
  <c r="K258" i="1"/>
  <c r="H258" i="1"/>
  <c r="K257" i="1"/>
  <c r="H257" i="1"/>
  <c r="K256" i="1"/>
  <c r="H256" i="1"/>
  <c r="K255" i="1"/>
  <c r="H255" i="1"/>
  <c r="K254" i="1"/>
  <c r="H254" i="1"/>
  <c r="K253" i="1"/>
  <c r="H253" i="1"/>
  <c r="H265" i="1" l="1"/>
  <c r="K265" i="1"/>
  <c r="Q86" i="12"/>
  <c r="S86" i="12"/>
  <c r="T86" i="12"/>
  <c r="R86" i="12"/>
  <c r="N86" i="12"/>
  <c r="M85" i="12"/>
  <c r="N85" i="12"/>
  <c r="O85" i="12"/>
  <c r="P85" i="12"/>
  <c r="Q85" i="12"/>
  <c r="R85" i="12"/>
  <c r="M86" i="12"/>
  <c r="O86" i="12"/>
  <c r="P86" i="12"/>
  <c r="H250" i="1"/>
  <c r="H249" i="1"/>
  <c r="T74" i="12"/>
  <c r="S74" i="12"/>
  <c r="R74" i="12"/>
  <c r="Q74" i="12"/>
  <c r="N77" i="12"/>
  <c r="N84" i="12"/>
  <c r="R84" i="12" s="1"/>
  <c r="N80" i="12"/>
  <c r="R80" i="12" s="1"/>
  <c r="O80" i="12"/>
  <c r="P80" i="12"/>
  <c r="Q80" i="12"/>
  <c r="N81" i="12"/>
  <c r="O81" i="12"/>
  <c r="P81" i="12"/>
  <c r="R81" i="12"/>
  <c r="N82" i="12"/>
  <c r="O82" i="12"/>
  <c r="P82" i="12"/>
  <c r="N83" i="12"/>
  <c r="R83" i="12" s="1"/>
  <c r="O83" i="12"/>
  <c r="P83" i="12"/>
  <c r="O84" i="12"/>
  <c r="P84" i="12"/>
  <c r="M80" i="12"/>
  <c r="M81" i="12"/>
  <c r="Q81" i="12" s="1"/>
  <c r="M82" i="12"/>
  <c r="M83" i="12"/>
  <c r="Q83" i="12" s="1"/>
  <c r="M84" i="12"/>
  <c r="Q84" i="12" s="1"/>
  <c r="H248" i="1"/>
  <c r="H247" i="1"/>
  <c r="D252" i="1"/>
  <c r="J239" i="1"/>
  <c r="D239" i="1"/>
  <c r="Q82" i="12" l="1"/>
  <c r="R82" i="12"/>
  <c r="P75" i="12"/>
  <c r="N78" i="12"/>
  <c r="M76" i="12"/>
  <c r="N76" i="12"/>
  <c r="O76" i="12"/>
  <c r="P76" i="12"/>
  <c r="Q76" i="12"/>
  <c r="R76" i="12"/>
  <c r="M77" i="12"/>
  <c r="O77" i="12"/>
  <c r="P77" i="12"/>
  <c r="M78" i="12"/>
  <c r="O78" i="12"/>
  <c r="Q78" i="12" s="1"/>
  <c r="P78" i="12"/>
  <c r="R78" i="12" s="1"/>
  <c r="M79" i="12"/>
  <c r="N79" i="12"/>
  <c r="O79" i="12"/>
  <c r="Q79" i="12" s="1"/>
  <c r="P79" i="12"/>
  <c r="R79" i="12" s="1"/>
  <c r="E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H227" i="1"/>
  <c r="N63" i="12"/>
  <c r="M63" i="12"/>
  <c r="Q63" i="12"/>
  <c r="P63" i="12"/>
  <c r="R63" i="12"/>
  <c r="M74" i="12"/>
  <c r="M72" i="12"/>
  <c r="Q72" i="12" s="1"/>
  <c r="N72" i="12"/>
  <c r="R72" i="12" s="1"/>
  <c r="O72" i="12"/>
  <c r="P72" i="12"/>
  <c r="M73" i="12"/>
  <c r="N73" i="12"/>
  <c r="O73" i="12"/>
  <c r="P73" i="12"/>
  <c r="Q73" i="12"/>
  <c r="R73" i="12"/>
  <c r="N74" i="12"/>
  <c r="O74" i="12"/>
  <c r="P74" i="12"/>
  <c r="M75" i="12"/>
  <c r="N75" i="12"/>
  <c r="R75" i="12" s="1"/>
  <c r="O75" i="12"/>
  <c r="Q77" i="12" l="1"/>
  <c r="R77" i="12"/>
  <c r="Q75" i="12"/>
  <c r="H240" i="1"/>
  <c r="H241" i="1"/>
  <c r="H242" i="1"/>
  <c r="H243" i="1"/>
  <c r="H244" i="1"/>
  <c r="H245" i="1"/>
  <c r="H246" i="1"/>
  <c r="F252" i="1"/>
  <c r="G252" i="1"/>
  <c r="J252" i="1"/>
  <c r="K124" i="1"/>
  <c r="K125" i="1"/>
  <c r="K126" i="1"/>
  <c r="K127" i="1"/>
  <c r="K128" i="1"/>
  <c r="K129" i="1"/>
  <c r="K130" i="1"/>
  <c r="K131" i="1"/>
  <c r="K132" i="1"/>
  <c r="K133" i="1"/>
  <c r="K134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8" i="1"/>
  <c r="K189" i="1"/>
  <c r="K190" i="1"/>
  <c r="K191" i="1"/>
  <c r="K192" i="1"/>
  <c r="K193" i="1"/>
  <c r="K195" i="1"/>
  <c r="K196" i="1"/>
  <c r="K197" i="1"/>
  <c r="K198" i="1"/>
  <c r="K199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123" i="1"/>
  <c r="M4" i="12"/>
  <c r="T62" i="12"/>
  <c r="S62" i="12"/>
  <c r="K252" i="1" l="1"/>
  <c r="W75" i="12"/>
  <c r="W76" i="12"/>
  <c r="W77" i="12"/>
  <c r="V71" i="12"/>
  <c r="V75" i="12"/>
  <c r="V76" i="12"/>
  <c r="V77" i="12"/>
  <c r="V46" i="12"/>
  <c r="W65" i="12"/>
  <c r="V65" i="12"/>
  <c r="V45" i="12"/>
  <c r="U67" i="12"/>
  <c r="U68" i="12" s="1"/>
  <c r="U69" i="12" s="1"/>
  <c r="U70" i="12" s="1"/>
  <c r="U71" i="12" s="1"/>
  <c r="U72" i="12" s="1"/>
  <c r="U73" i="12" s="1"/>
  <c r="U74" i="12" s="1"/>
  <c r="U75" i="12" s="1"/>
  <c r="U76" i="12" s="1"/>
  <c r="U77" i="12" s="1"/>
  <c r="W55" i="12"/>
  <c r="W46" i="12"/>
  <c r="W53" i="12"/>
  <c r="W52" i="12"/>
  <c r="P71" i="12"/>
  <c r="R71" i="12"/>
  <c r="W74" i="12" s="1"/>
  <c r="N71" i="12"/>
  <c r="N70" i="12"/>
  <c r="N69" i="12"/>
  <c r="M71" i="12"/>
  <c r="M70" i="12"/>
  <c r="M69" i="12"/>
  <c r="O70" i="12"/>
  <c r="P70" i="12"/>
  <c r="Q70" i="12"/>
  <c r="V73" i="12" s="1"/>
  <c r="R70" i="12"/>
  <c r="W73" i="12" s="1"/>
  <c r="O71" i="12"/>
  <c r="Q71" i="12"/>
  <c r="V74" i="12" s="1"/>
  <c r="P68" i="12"/>
  <c r="O68" i="12"/>
  <c r="N68" i="12"/>
  <c r="M68" i="12"/>
  <c r="Q68" i="12" s="1"/>
  <c r="M67" i="12"/>
  <c r="M66" i="12"/>
  <c r="N67" i="12"/>
  <c r="O67" i="12"/>
  <c r="P67" i="12"/>
  <c r="O69" i="12"/>
  <c r="Q69" i="12" s="1"/>
  <c r="V72" i="12" s="1"/>
  <c r="P69" i="12"/>
  <c r="R67" i="12" l="1"/>
  <c r="W70" i="12" s="1"/>
  <c r="Q67" i="12"/>
  <c r="V70" i="12" s="1"/>
  <c r="R68" i="12"/>
  <c r="W71" i="12" s="1"/>
  <c r="R69" i="12"/>
  <c r="W72" i="12" s="1"/>
  <c r="S50" i="12" l="1"/>
  <c r="O63" i="12"/>
  <c r="M64" i="12"/>
  <c r="N64" i="12"/>
  <c r="O64" i="12"/>
  <c r="P64" i="12"/>
  <c r="R64" i="12"/>
  <c r="W67" i="12" s="1"/>
  <c r="M65" i="12"/>
  <c r="Q65" i="12" s="1"/>
  <c r="V68" i="12" s="1"/>
  <c r="N65" i="12"/>
  <c r="O65" i="12"/>
  <c r="P65" i="12"/>
  <c r="R65" i="12"/>
  <c r="W68" i="12" s="1"/>
  <c r="N66" i="12"/>
  <c r="O66" i="12"/>
  <c r="Q66" i="12" s="1"/>
  <c r="V69" i="12" s="1"/>
  <c r="P66" i="12"/>
  <c r="P62" i="12"/>
  <c r="R62" i="12"/>
  <c r="M59" i="12"/>
  <c r="N59" i="12"/>
  <c r="O59" i="12"/>
  <c r="P59" i="12"/>
  <c r="Q59" i="12"/>
  <c r="R59" i="12"/>
  <c r="M60" i="12"/>
  <c r="N60" i="12"/>
  <c r="O60" i="12"/>
  <c r="P60" i="12"/>
  <c r="Q60" i="12"/>
  <c r="R60" i="12"/>
  <c r="M61" i="12"/>
  <c r="N61" i="12"/>
  <c r="O61" i="12"/>
  <c r="P61" i="12"/>
  <c r="Q61" i="12"/>
  <c r="R61" i="12"/>
  <c r="M62" i="12"/>
  <c r="N62" i="12"/>
  <c r="O62" i="12"/>
  <c r="Q62" i="12"/>
  <c r="G239" i="1"/>
  <c r="F239" i="1"/>
  <c r="E239" i="1"/>
  <c r="K239" i="1" s="1"/>
  <c r="H238" i="1"/>
  <c r="H237" i="1"/>
  <c r="H236" i="1"/>
  <c r="H235" i="1"/>
  <c r="H234" i="1"/>
  <c r="H233" i="1"/>
  <c r="H232" i="1"/>
  <c r="H231" i="1"/>
  <c r="H230" i="1"/>
  <c r="H229" i="1"/>
  <c r="H228" i="1"/>
  <c r="W66" i="12" l="1"/>
  <c r="Q64" i="12"/>
  <c r="V67" i="12" s="1"/>
  <c r="R66" i="12"/>
  <c r="W69" i="12" s="1"/>
  <c r="Q11" i="13"/>
  <c r="Q10" i="13"/>
  <c r="AK10" i="12"/>
  <c r="P55" i="12"/>
  <c r="P56" i="12"/>
  <c r="P57" i="12"/>
  <c r="P58" i="12"/>
  <c r="O55" i="12"/>
  <c r="O56" i="12"/>
  <c r="O57" i="12"/>
  <c r="O58" i="12"/>
  <c r="N55" i="12"/>
  <c r="N56" i="12"/>
  <c r="R56" i="12" s="1"/>
  <c r="N57" i="12"/>
  <c r="R57" i="12" s="1"/>
  <c r="N58" i="12"/>
  <c r="M55" i="12"/>
  <c r="M56" i="12"/>
  <c r="M57" i="12"/>
  <c r="M58" i="12"/>
  <c r="M39" i="12"/>
  <c r="O40" i="12"/>
  <c r="H216" i="1"/>
  <c r="W78" i="12" l="1"/>
  <c r="V80" i="12"/>
  <c r="V66" i="12"/>
  <c r="V78" i="12"/>
  <c r="Q55" i="12"/>
  <c r="R58" i="12"/>
  <c r="Q56" i="12"/>
  <c r="R55" i="12"/>
  <c r="Q58" i="12"/>
  <c r="Q57" i="12"/>
  <c r="O52" i="12"/>
  <c r="P54" i="12"/>
  <c r="O54" i="12"/>
  <c r="N54" i="12"/>
  <c r="M54" i="12"/>
  <c r="P53" i="12"/>
  <c r="O53" i="12"/>
  <c r="N53" i="12"/>
  <c r="M53" i="12"/>
  <c r="P52" i="12"/>
  <c r="N52" i="12"/>
  <c r="M52" i="12"/>
  <c r="Q54" i="12" l="1"/>
  <c r="R54" i="12"/>
  <c r="Q52" i="12"/>
  <c r="Q53" i="12"/>
  <c r="R53" i="12"/>
  <c r="R52" i="12"/>
  <c r="J226" i="1"/>
  <c r="G226" i="1"/>
  <c r="F226" i="1"/>
  <c r="E226" i="1"/>
  <c r="D226" i="1"/>
  <c r="K226" i="1" s="1"/>
  <c r="H225" i="1"/>
  <c r="H224" i="1"/>
  <c r="H223" i="1"/>
  <c r="H222" i="1"/>
  <c r="H221" i="1"/>
  <c r="H220" i="1"/>
  <c r="H219" i="1"/>
  <c r="H218" i="1"/>
  <c r="H217" i="1"/>
  <c r="H215" i="1"/>
  <c r="H214" i="1"/>
  <c r="H226" i="1" l="1"/>
  <c r="N51" i="12"/>
  <c r="M51" i="12"/>
  <c r="P51" i="12"/>
  <c r="O51" i="12"/>
  <c r="H212" i="1"/>
  <c r="Q51" i="12" l="1"/>
  <c r="R51" i="12"/>
  <c r="P50" i="12"/>
  <c r="O50" i="12"/>
  <c r="N50" i="12"/>
  <c r="M50" i="12"/>
  <c r="M49" i="12"/>
  <c r="R50" i="12" l="1"/>
  <c r="Q50" i="12"/>
  <c r="P49" i="12"/>
  <c r="O49" i="12"/>
  <c r="Q49" i="12" s="1"/>
  <c r="N49" i="12"/>
  <c r="R49" i="12" s="1"/>
  <c r="P47" i="12" l="1"/>
  <c r="P48" i="12"/>
  <c r="O47" i="12"/>
  <c r="Q47" i="12" s="1"/>
  <c r="O48" i="12"/>
  <c r="N47" i="12"/>
  <c r="N48" i="12"/>
  <c r="N46" i="12"/>
  <c r="M47" i="12"/>
  <c r="M48" i="12"/>
  <c r="M46" i="12"/>
  <c r="N90" i="10"/>
  <c r="N91" i="10"/>
  <c r="R47" i="12" l="1"/>
  <c r="Q48" i="12"/>
  <c r="R48" i="12"/>
  <c r="P46" i="12"/>
  <c r="R46" i="12" s="1"/>
  <c r="O46" i="12"/>
  <c r="Q46" i="12" s="1"/>
  <c r="H206" i="1"/>
  <c r="P41" i="12"/>
  <c r="P42" i="12"/>
  <c r="P43" i="12"/>
  <c r="P44" i="12"/>
  <c r="P45" i="12"/>
  <c r="O41" i="12"/>
  <c r="O42" i="12"/>
  <c r="O43" i="12"/>
  <c r="O44" i="12"/>
  <c r="O45" i="12"/>
  <c r="N41" i="12"/>
  <c r="N42" i="12"/>
  <c r="N43" i="12"/>
  <c r="N44" i="12"/>
  <c r="N45" i="12"/>
  <c r="M41" i="12"/>
  <c r="M42" i="12"/>
  <c r="M43" i="12"/>
  <c r="Q43" i="12" s="1"/>
  <c r="M44" i="12"/>
  <c r="M45" i="12"/>
  <c r="M40" i="12"/>
  <c r="Q40" i="12" s="1"/>
  <c r="L40" i="12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P40" i="12"/>
  <c r="N40" i="12"/>
  <c r="H204" i="1"/>
  <c r="Q42" i="12" l="1"/>
  <c r="R40" i="12"/>
  <c r="Q45" i="12"/>
  <c r="Q41" i="12"/>
  <c r="Q44" i="12"/>
  <c r="R45" i="12"/>
  <c r="R44" i="12"/>
  <c r="R41" i="12"/>
  <c r="R42" i="12"/>
  <c r="R43" i="12"/>
  <c r="Q73" i="10"/>
  <c r="N39" i="12" l="1"/>
  <c r="H201" i="1" l="1"/>
  <c r="H202" i="1"/>
  <c r="H203" i="1"/>
  <c r="H205" i="1"/>
  <c r="H207" i="1"/>
  <c r="H208" i="1"/>
  <c r="H209" i="1"/>
  <c r="H210" i="1"/>
  <c r="H211" i="1"/>
  <c r="D213" i="1"/>
  <c r="E213" i="1"/>
  <c r="F213" i="1"/>
  <c r="G213" i="1"/>
  <c r="J213" i="1"/>
  <c r="U47" i="12"/>
  <c r="U48" i="12" s="1"/>
  <c r="U49" i="12" s="1"/>
  <c r="U50" i="12" s="1"/>
  <c r="U51" i="12" s="1"/>
  <c r="U52" i="12" s="1"/>
  <c r="U53" i="12" s="1"/>
  <c r="U54" i="12" s="1"/>
  <c r="U55" i="12" s="1"/>
  <c r="U56" i="12" s="1"/>
  <c r="U57" i="12" s="1"/>
  <c r="O39" i="12"/>
  <c r="Q39" i="12" s="1"/>
  <c r="P39" i="12"/>
  <c r="R39" i="12" s="1"/>
  <c r="T50" i="12" s="1"/>
  <c r="O94" i="10"/>
  <c r="P94" i="10"/>
  <c r="Q94" i="10"/>
  <c r="N94" i="10"/>
  <c r="N93" i="10"/>
  <c r="N71" i="10"/>
  <c r="O71" i="10"/>
  <c r="P71" i="10"/>
  <c r="Q71" i="10"/>
  <c r="N72" i="10"/>
  <c r="O72" i="10"/>
  <c r="P72" i="10"/>
  <c r="Q72" i="10"/>
  <c r="N73" i="10"/>
  <c r="O73" i="10"/>
  <c r="P73" i="10"/>
  <c r="N74" i="10"/>
  <c r="O74" i="10"/>
  <c r="P74" i="10"/>
  <c r="Q74" i="10"/>
  <c r="N75" i="10"/>
  <c r="O75" i="10"/>
  <c r="P75" i="10"/>
  <c r="Q75" i="10"/>
  <c r="N76" i="10"/>
  <c r="O76" i="10"/>
  <c r="P76" i="10"/>
  <c r="Q76" i="10"/>
  <c r="N77" i="10"/>
  <c r="O77" i="10"/>
  <c r="P77" i="10"/>
  <c r="Q77" i="10"/>
  <c r="N78" i="10"/>
  <c r="O78" i="10"/>
  <c r="P78" i="10"/>
  <c r="Q78" i="10"/>
  <c r="N79" i="10"/>
  <c r="O79" i="10"/>
  <c r="P79" i="10"/>
  <c r="Q79" i="10"/>
  <c r="N80" i="10"/>
  <c r="O80" i="10"/>
  <c r="P80" i="10"/>
  <c r="Q80" i="10"/>
  <c r="N81" i="10"/>
  <c r="O81" i="10"/>
  <c r="P81" i="10"/>
  <c r="Q81" i="10"/>
  <c r="N82" i="10"/>
  <c r="O82" i="10"/>
  <c r="P82" i="10"/>
  <c r="Q82" i="10"/>
  <c r="N83" i="10"/>
  <c r="O83" i="10"/>
  <c r="P83" i="10"/>
  <c r="Q83" i="10"/>
  <c r="N84" i="10"/>
  <c r="O84" i="10"/>
  <c r="P84" i="10"/>
  <c r="Q84" i="10"/>
  <c r="N85" i="10"/>
  <c r="O85" i="10"/>
  <c r="P85" i="10"/>
  <c r="Q85" i="10"/>
  <c r="N86" i="10"/>
  <c r="O86" i="10"/>
  <c r="P86" i="10"/>
  <c r="Q86" i="10"/>
  <c r="N87" i="10"/>
  <c r="O87" i="10"/>
  <c r="P87" i="10"/>
  <c r="Q87" i="10"/>
  <c r="N88" i="10"/>
  <c r="O88" i="10"/>
  <c r="P88" i="10"/>
  <c r="Q88" i="10"/>
  <c r="N89" i="10"/>
  <c r="O89" i="10"/>
  <c r="P89" i="10"/>
  <c r="Q89" i="10"/>
  <c r="O90" i="10"/>
  <c r="P90" i="10"/>
  <c r="Q90" i="10"/>
  <c r="O91" i="10"/>
  <c r="P91" i="10"/>
  <c r="Q91" i="10"/>
  <c r="N92" i="10"/>
  <c r="O92" i="10"/>
  <c r="P92" i="10"/>
  <c r="Q92" i="10"/>
  <c r="O93" i="10"/>
  <c r="P93" i="10"/>
  <c r="Q93" i="10"/>
  <c r="O70" i="10"/>
  <c r="P70" i="10"/>
  <c r="Q70" i="10"/>
  <c r="N70" i="10"/>
  <c r="U80" i="4"/>
  <c r="U81" i="4"/>
  <c r="U82" i="4"/>
  <c r="M36" i="12"/>
  <c r="Q36" i="12" s="1"/>
  <c r="N36" i="12"/>
  <c r="O36" i="12"/>
  <c r="P36" i="12"/>
  <c r="M37" i="12"/>
  <c r="N37" i="12"/>
  <c r="O37" i="12"/>
  <c r="P37" i="12"/>
  <c r="M38" i="12"/>
  <c r="N38" i="12"/>
  <c r="O38" i="12"/>
  <c r="P38" i="12"/>
  <c r="N58" i="10"/>
  <c r="O58" i="10"/>
  <c r="P58" i="10"/>
  <c r="Q58" i="10"/>
  <c r="N59" i="10"/>
  <c r="O59" i="10"/>
  <c r="P59" i="10"/>
  <c r="Q59" i="10"/>
  <c r="N60" i="10"/>
  <c r="O60" i="10"/>
  <c r="P60" i="10"/>
  <c r="Q60" i="10"/>
  <c r="N61" i="10"/>
  <c r="O61" i="10"/>
  <c r="P61" i="10"/>
  <c r="Q61" i="10"/>
  <c r="N62" i="10"/>
  <c r="O62" i="10"/>
  <c r="P62" i="10"/>
  <c r="Q62" i="10"/>
  <c r="N63" i="10"/>
  <c r="O63" i="10"/>
  <c r="P63" i="10"/>
  <c r="Q63" i="10"/>
  <c r="U77" i="4"/>
  <c r="U78" i="4"/>
  <c r="U79" i="4"/>
  <c r="M77" i="4"/>
  <c r="L77" i="4"/>
  <c r="E77" i="4"/>
  <c r="D77" i="4"/>
  <c r="K213" i="1" l="1"/>
  <c r="N77" i="4"/>
  <c r="Q37" i="12"/>
  <c r="V56" i="12" s="1"/>
  <c r="R37" i="12"/>
  <c r="W56" i="12" s="1"/>
  <c r="R38" i="12"/>
  <c r="R36" i="12"/>
  <c r="W57" i="12"/>
  <c r="Q38" i="12"/>
  <c r="V55" i="12"/>
  <c r="H213" i="1"/>
  <c r="F77" i="4"/>
  <c r="AA77" i="4" s="1"/>
  <c r="AG77" i="4" s="1"/>
  <c r="P5" i="13"/>
  <c r="P6" i="13"/>
  <c r="P7" i="13"/>
  <c r="P8" i="13"/>
  <c r="P9" i="13"/>
  <c r="P10" i="13"/>
  <c r="P11" i="13"/>
  <c r="P12" i="13"/>
  <c r="P13" i="13"/>
  <c r="P4" i="13"/>
  <c r="M34" i="12"/>
  <c r="N34" i="12"/>
  <c r="O34" i="12"/>
  <c r="P34" i="12"/>
  <c r="R34" i="12" s="1"/>
  <c r="M35" i="12"/>
  <c r="N35" i="12"/>
  <c r="O35" i="12"/>
  <c r="P35" i="12"/>
  <c r="N53" i="10"/>
  <c r="O53" i="10"/>
  <c r="P53" i="10"/>
  <c r="Q53" i="10"/>
  <c r="N54" i="10"/>
  <c r="O54" i="10"/>
  <c r="P54" i="10"/>
  <c r="Q54" i="10"/>
  <c r="N55" i="10"/>
  <c r="O55" i="10"/>
  <c r="P55" i="10"/>
  <c r="Q55" i="10"/>
  <c r="N56" i="10"/>
  <c r="O56" i="10"/>
  <c r="P56" i="10"/>
  <c r="Q56" i="10"/>
  <c r="N57" i="10"/>
  <c r="O57" i="10"/>
  <c r="P57" i="10"/>
  <c r="Q57" i="10"/>
  <c r="U76" i="4"/>
  <c r="M76" i="4"/>
  <c r="L76" i="4"/>
  <c r="E76" i="4"/>
  <c r="D76" i="4"/>
  <c r="N51" i="10"/>
  <c r="O51" i="10"/>
  <c r="P51" i="10"/>
  <c r="Q51" i="10"/>
  <c r="N52" i="10"/>
  <c r="O52" i="10"/>
  <c r="P52" i="10"/>
  <c r="Q52" i="10"/>
  <c r="M33" i="12"/>
  <c r="N33" i="12"/>
  <c r="O33" i="12"/>
  <c r="P33" i="12"/>
  <c r="M32" i="12"/>
  <c r="N32" i="12"/>
  <c r="O32" i="12"/>
  <c r="P32" i="12"/>
  <c r="N50" i="10"/>
  <c r="O50" i="10"/>
  <c r="P50" i="10"/>
  <c r="Q50" i="10"/>
  <c r="O43" i="10"/>
  <c r="O49" i="10"/>
  <c r="U75" i="4"/>
  <c r="Q49" i="10"/>
  <c r="P49" i="10"/>
  <c r="O41" i="10"/>
  <c r="O42" i="10"/>
  <c r="O44" i="10"/>
  <c r="O45" i="10"/>
  <c r="O46" i="10"/>
  <c r="O47" i="10"/>
  <c r="O48" i="10"/>
  <c r="O40" i="10"/>
  <c r="P34" i="10"/>
  <c r="P12" i="10"/>
  <c r="O34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12" i="10"/>
  <c r="N48" i="10"/>
  <c r="P48" i="10"/>
  <c r="Q48" i="10"/>
  <c r="N49" i="10"/>
  <c r="M31" i="12"/>
  <c r="N31" i="12"/>
  <c r="O31" i="12"/>
  <c r="P31" i="12"/>
  <c r="R35" i="12" l="1"/>
  <c r="R33" i="12"/>
  <c r="Q34" i="12"/>
  <c r="V57" i="12"/>
  <c r="F76" i="4"/>
  <c r="W54" i="12"/>
  <c r="Q31" i="12"/>
  <c r="V50" i="12" s="1"/>
  <c r="Q35" i="12"/>
  <c r="Q33" i="12"/>
  <c r="R31" i="12"/>
  <c r="W50" i="12" s="1"/>
  <c r="Q32" i="12"/>
  <c r="V51" i="12" s="1"/>
  <c r="R32" i="12"/>
  <c r="W51" i="12" s="1"/>
  <c r="N76" i="4"/>
  <c r="F70" i="4"/>
  <c r="D74" i="4"/>
  <c r="E74" i="4"/>
  <c r="D75" i="4"/>
  <c r="E75" i="4"/>
  <c r="L74" i="4"/>
  <c r="M74" i="4"/>
  <c r="L75" i="4"/>
  <c r="M75" i="4"/>
  <c r="U74" i="4"/>
  <c r="N47" i="10"/>
  <c r="P47" i="10"/>
  <c r="Q47" i="10"/>
  <c r="U73" i="4"/>
  <c r="M30" i="12"/>
  <c r="N30" i="12"/>
  <c r="O30" i="12"/>
  <c r="P30" i="12"/>
  <c r="N45" i="10"/>
  <c r="P45" i="10"/>
  <c r="Q45" i="10"/>
  <c r="N46" i="10"/>
  <c r="P46" i="10"/>
  <c r="Q46" i="10"/>
  <c r="H190" i="1"/>
  <c r="M29" i="12"/>
  <c r="N29" i="12"/>
  <c r="O29" i="12"/>
  <c r="P29" i="12"/>
  <c r="N44" i="10"/>
  <c r="P44" i="10"/>
  <c r="Q44" i="10"/>
  <c r="V54" i="12" l="1"/>
  <c r="V52" i="12"/>
  <c r="AA76" i="4"/>
  <c r="AG76" i="4" s="1"/>
  <c r="V53" i="12"/>
  <c r="F75" i="4"/>
  <c r="N75" i="4"/>
  <c r="R29" i="12"/>
  <c r="W48" i="12" s="1"/>
  <c r="Q29" i="12"/>
  <c r="V48" i="12" s="1"/>
  <c r="R30" i="12"/>
  <c r="W49" i="12" s="1"/>
  <c r="N74" i="4"/>
  <c r="O74" i="4" s="1"/>
  <c r="F74" i="4"/>
  <c r="Q30" i="12"/>
  <c r="V49" i="12" s="1"/>
  <c r="U72" i="4"/>
  <c r="V72" i="4" s="1"/>
  <c r="U71" i="4"/>
  <c r="L72" i="4"/>
  <c r="M72" i="4"/>
  <c r="L73" i="4"/>
  <c r="M73" i="4"/>
  <c r="L78" i="4"/>
  <c r="M78" i="4"/>
  <c r="L79" i="4"/>
  <c r="M79" i="4"/>
  <c r="L80" i="4"/>
  <c r="M80" i="4"/>
  <c r="L81" i="4"/>
  <c r="M81" i="4"/>
  <c r="L82" i="4"/>
  <c r="M82" i="4"/>
  <c r="M71" i="4"/>
  <c r="L71" i="4"/>
  <c r="D72" i="4"/>
  <c r="E72" i="4"/>
  <c r="D73" i="4"/>
  <c r="E73" i="4"/>
  <c r="D78" i="4"/>
  <c r="E78" i="4"/>
  <c r="D79" i="4"/>
  <c r="E79" i="4"/>
  <c r="D80" i="4"/>
  <c r="E80" i="4"/>
  <c r="D81" i="4"/>
  <c r="E81" i="4"/>
  <c r="D82" i="4"/>
  <c r="E82" i="4"/>
  <c r="E71" i="4"/>
  <c r="D71" i="4"/>
  <c r="L28" i="12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U28" i="12"/>
  <c r="U29" i="12" s="1"/>
  <c r="U30" i="12" s="1"/>
  <c r="U31" i="12" s="1"/>
  <c r="U32" i="12" s="1"/>
  <c r="U33" i="12" s="1"/>
  <c r="U34" i="12" s="1"/>
  <c r="U35" i="12" s="1"/>
  <c r="U36" i="12" s="1"/>
  <c r="U37" i="12" s="1"/>
  <c r="U38" i="12" s="1"/>
  <c r="M27" i="12"/>
  <c r="N27" i="12"/>
  <c r="O27" i="12"/>
  <c r="P27" i="12"/>
  <c r="M28" i="12"/>
  <c r="N28" i="12"/>
  <c r="O28" i="12"/>
  <c r="P28" i="12"/>
  <c r="W7" i="12"/>
  <c r="W26" i="12" s="1"/>
  <c r="W45" i="12" s="1"/>
  <c r="V7" i="12"/>
  <c r="V26" i="12" s="1"/>
  <c r="T83" i="4"/>
  <c r="Y82" i="4"/>
  <c r="Z82" i="4" s="1"/>
  <c r="V82" i="4"/>
  <c r="Y81" i="4"/>
  <c r="Z81" i="4" s="1"/>
  <c r="V81" i="4"/>
  <c r="Y80" i="4"/>
  <c r="Z80" i="4" s="1"/>
  <c r="V80" i="4"/>
  <c r="Y79" i="4"/>
  <c r="Z79" i="4" s="1"/>
  <c r="V79" i="4"/>
  <c r="V78" i="4"/>
  <c r="Y77" i="4"/>
  <c r="Z77" i="4" s="1"/>
  <c r="V77" i="4"/>
  <c r="V76" i="4"/>
  <c r="O76" i="4"/>
  <c r="V75" i="4"/>
  <c r="V74" i="4"/>
  <c r="V73" i="4"/>
  <c r="O64" i="10"/>
  <c r="P64" i="10"/>
  <c r="Q64" i="10"/>
  <c r="N64" i="10"/>
  <c r="N41" i="10"/>
  <c r="P41" i="10"/>
  <c r="Q41" i="10"/>
  <c r="N42" i="10"/>
  <c r="P42" i="10"/>
  <c r="Q42" i="10"/>
  <c r="N43" i="10"/>
  <c r="P43" i="10"/>
  <c r="Q43" i="10"/>
  <c r="Q40" i="10"/>
  <c r="P40" i="10"/>
  <c r="N40" i="10"/>
  <c r="H189" i="1"/>
  <c r="G200" i="1"/>
  <c r="H199" i="1"/>
  <c r="H198" i="1"/>
  <c r="H197" i="1"/>
  <c r="H196" i="1"/>
  <c r="H195" i="1"/>
  <c r="H193" i="1"/>
  <c r="H192" i="1"/>
  <c r="H191" i="1"/>
  <c r="H188" i="1"/>
  <c r="D187" i="1"/>
  <c r="P26" i="12"/>
  <c r="O26" i="12"/>
  <c r="N26" i="12"/>
  <c r="M26" i="12"/>
  <c r="P25" i="12"/>
  <c r="O25" i="12"/>
  <c r="N25" i="12"/>
  <c r="M25" i="12"/>
  <c r="P24" i="12"/>
  <c r="O24" i="12"/>
  <c r="N24" i="12"/>
  <c r="M24" i="12"/>
  <c r="P23" i="12"/>
  <c r="O23" i="12"/>
  <c r="N23" i="12"/>
  <c r="M23" i="12"/>
  <c r="P22" i="12"/>
  <c r="O22" i="12"/>
  <c r="N22" i="12"/>
  <c r="M22" i="12"/>
  <c r="P21" i="12"/>
  <c r="O21" i="12"/>
  <c r="N21" i="12"/>
  <c r="M21" i="12"/>
  <c r="P20" i="12"/>
  <c r="O20" i="12"/>
  <c r="N20" i="12"/>
  <c r="M20" i="12"/>
  <c r="P19" i="12"/>
  <c r="O19" i="12"/>
  <c r="N19" i="12"/>
  <c r="M19" i="12"/>
  <c r="P18" i="12"/>
  <c r="O18" i="12"/>
  <c r="N18" i="12"/>
  <c r="M18" i="12"/>
  <c r="P17" i="12"/>
  <c r="O17" i="12"/>
  <c r="N17" i="12"/>
  <c r="M17" i="12"/>
  <c r="P16" i="12"/>
  <c r="O16" i="12"/>
  <c r="N16" i="12"/>
  <c r="M16" i="12"/>
  <c r="P15" i="12"/>
  <c r="O15" i="12"/>
  <c r="N15" i="12"/>
  <c r="M15" i="12"/>
  <c r="P14" i="12"/>
  <c r="O14" i="12"/>
  <c r="N14" i="12"/>
  <c r="M14" i="12"/>
  <c r="P13" i="12"/>
  <c r="O13" i="12"/>
  <c r="N13" i="12"/>
  <c r="M13" i="12"/>
  <c r="P12" i="12"/>
  <c r="O12" i="12"/>
  <c r="N12" i="12"/>
  <c r="M12" i="12"/>
  <c r="P11" i="12"/>
  <c r="O11" i="12"/>
  <c r="N11" i="12"/>
  <c r="M11" i="12"/>
  <c r="P10" i="12"/>
  <c r="O10" i="12"/>
  <c r="N10" i="12"/>
  <c r="M10" i="12"/>
  <c r="P9" i="12"/>
  <c r="O9" i="12"/>
  <c r="N9" i="12"/>
  <c r="M9" i="12"/>
  <c r="P8" i="12"/>
  <c r="O8" i="12"/>
  <c r="N8" i="12"/>
  <c r="M8" i="12"/>
  <c r="P7" i="12"/>
  <c r="O7" i="12"/>
  <c r="N7" i="12"/>
  <c r="M7" i="12"/>
  <c r="P6" i="12"/>
  <c r="O6" i="12"/>
  <c r="N6" i="12"/>
  <c r="M6" i="12"/>
  <c r="P5" i="12"/>
  <c r="O5" i="12"/>
  <c r="N5" i="12"/>
  <c r="M5" i="12"/>
  <c r="P4" i="12"/>
  <c r="O4" i="12"/>
  <c r="N4" i="12"/>
  <c r="V71" i="4" l="1"/>
  <c r="U83" i="4"/>
  <c r="R6" i="12"/>
  <c r="R8" i="12"/>
  <c r="R12" i="12"/>
  <c r="R14" i="12"/>
  <c r="R18" i="12"/>
  <c r="W30" i="12" s="1"/>
  <c r="R20" i="12"/>
  <c r="W32" i="12" s="1"/>
  <c r="R24" i="12"/>
  <c r="W36" i="12" s="1"/>
  <c r="R26" i="12"/>
  <c r="W38" i="12" s="1"/>
  <c r="AA75" i="4"/>
  <c r="AG75" i="4" s="1"/>
  <c r="AD10" i="12"/>
  <c r="R5" i="12"/>
  <c r="R9" i="12"/>
  <c r="R11" i="12"/>
  <c r="R17" i="12"/>
  <c r="W10" i="12" s="1"/>
  <c r="R21" i="12"/>
  <c r="W33" i="12" s="1"/>
  <c r="R23" i="12"/>
  <c r="W35" i="12" s="1"/>
  <c r="AC9" i="12"/>
  <c r="AD9" i="12"/>
  <c r="AE10" i="12"/>
  <c r="AE9" i="12"/>
  <c r="R7" i="12"/>
  <c r="R10" i="12"/>
  <c r="R13" i="12"/>
  <c r="R16" i="12"/>
  <c r="R19" i="12"/>
  <c r="R22" i="12"/>
  <c r="W34" i="12" s="1"/>
  <c r="R25" i="12"/>
  <c r="W37" i="12" s="1"/>
  <c r="AC10" i="12"/>
  <c r="R4" i="12"/>
  <c r="AB10" i="12"/>
  <c r="F80" i="4"/>
  <c r="G80" i="4" s="1"/>
  <c r="N80" i="4"/>
  <c r="O80" i="4" s="1"/>
  <c r="N79" i="4"/>
  <c r="O79" i="4" s="1"/>
  <c r="N82" i="4"/>
  <c r="O82" i="4" s="1"/>
  <c r="F81" i="4"/>
  <c r="N81" i="4"/>
  <c r="F79" i="4"/>
  <c r="F82" i="4"/>
  <c r="F78" i="4"/>
  <c r="G78" i="4" s="1"/>
  <c r="N78" i="4"/>
  <c r="Y78" i="4"/>
  <c r="Z78" i="4" s="1"/>
  <c r="Y74" i="4"/>
  <c r="Z74" i="4" s="1"/>
  <c r="Y71" i="4"/>
  <c r="Y76" i="4"/>
  <c r="Z76" i="4" s="1"/>
  <c r="W71" i="4"/>
  <c r="W72" i="4" s="1"/>
  <c r="W73" i="4" s="1"/>
  <c r="X73" i="4" s="1"/>
  <c r="Y73" i="4"/>
  <c r="Z73" i="4" s="1"/>
  <c r="Y75" i="4"/>
  <c r="Z75" i="4" s="1"/>
  <c r="Y72" i="4"/>
  <c r="W31" i="12"/>
  <c r="R28" i="12"/>
  <c r="AA74" i="4"/>
  <c r="N71" i="4"/>
  <c r="N73" i="4"/>
  <c r="F73" i="4"/>
  <c r="N72" i="4"/>
  <c r="Q27" i="12"/>
  <c r="F72" i="4"/>
  <c r="L83" i="4"/>
  <c r="O75" i="4"/>
  <c r="M83" i="4"/>
  <c r="G77" i="4"/>
  <c r="F71" i="4"/>
  <c r="D83" i="4"/>
  <c r="E83" i="4"/>
  <c r="Q4" i="12"/>
  <c r="Q5" i="12"/>
  <c r="Q6" i="12"/>
  <c r="Q7" i="12"/>
  <c r="Q8" i="12"/>
  <c r="Q10" i="12"/>
  <c r="Q11" i="12"/>
  <c r="Q12" i="12"/>
  <c r="Q13" i="12"/>
  <c r="Q14" i="12"/>
  <c r="Q15" i="12"/>
  <c r="Q16" i="12"/>
  <c r="Q17" i="12"/>
  <c r="V29" i="12" s="1"/>
  <c r="Q18" i="12"/>
  <c r="V30" i="12" s="1"/>
  <c r="Q19" i="12"/>
  <c r="Q20" i="12"/>
  <c r="V32" i="12" s="1"/>
  <c r="Q21" i="12"/>
  <c r="V33" i="12" s="1"/>
  <c r="Q22" i="12"/>
  <c r="V34" i="12" s="1"/>
  <c r="Q23" i="12"/>
  <c r="Q24" i="12"/>
  <c r="Q25" i="12"/>
  <c r="V37" i="12" s="1"/>
  <c r="Q26" i="12"/>
  <c r="V38" i="12" s="1"/>
  <c r="Q28" i="12"/>
  <c r="V47" i="12" s="1"/>
  <c r="R27" i="12"/>
  <c r="AB9" i="12"/>
  <c r="Q9" i="12"/>
  <c r="AB76" i="4"/>
  <c r="G76" i="4"/>
  <c r="AB77" i="4"/>
  <c r="G75" i="4"/>
  <c r="O77" i="4"/>
  <c r="G74" i="4"/>
  <c r="R15" i="12"/>
  <c r="W19" i="12" l="1"/>
  <c r="W16" i="12"/>
  <c r="W12" i="12"/>
  <c r="AI9" i="12"/>
  <c r="W29" i="12"/>
  <c r="W14" i="12"/>
  <c r="W17" i="12"/>
  <c r="W13" i="12"/>
  <c r="V13" i="12"/>
  <c r="W20" i="12"/>
  <c r="W11" i="12"/>
  <c r="AJ10" i="12"/>
  <c r="AJ9" i="12"/>
  <c r="AK9" i="12" s="1"/>
  <c r="W18" i="12"/>
  <c r="W15" i="12"/>
  <c r="AG9" i="12"/>
  <c r="AI10" i="12"/>
  <c r="V19" i="12"/>
  <c r="R82" i="4"/>
  <c r="S82" i="4" s="1"/>
  <c r="W9" i="12"/>
  <c r="T38" i="12"/>
  <c r="W39" i="12"/>
  <c r="AG10" i="12"/>
  <c r="W58" i="12"/>
  <c r="N83" i="4"/>
  <c r="V17" i="12"/>
  <c r="V36" i="12"/>
  <c r="AB74" i="4"/>
  <c r="AG74" i="4"/>
  <c r="S38" i="12"/>
  <c r="V39" i="12"/>
  <c r="V41" i="12"/>
  <c r="AF10" i="12"/>
  <c r="V58" i="12"/>
  <c r="V60" i="12"/>
  <c r="V18" i="12"/>
  <c r="V9" i="12"/>
  <c r="V16" i="12"/>
  <c r="V35" i="12"/>
  <c r="V15" i="12"/>
  <c r="W28" i="12"/>
  <c r="W47" i="12"/>
  <c r="V10" i="12"/>
  <c r="AL9" i="12"/>
  <c r="V11" i="12"/>
  <c r="R81" i="4"/>
  <c r="S81" i="4" s="1"/>
  <c r="O81" i="4"/>
  <c r="AA80" i="4"/>
  <c r="AA82" i="4"/>
  <c r="AA79" i="4"/>
  <c r="J82" i="4"/>
  <c r="K82" i="4" s="1"/>
  <c r="R80" i="4"/>
  <c r="S80" i="4" s="1"/>
  <c r="G82" i="4"/>
  <c r="J77" i="4"/>
  <c r="K77" i="4" s="1"/>
  <c r="AA81" i="4"/>
  <c r="G81" i="4"/>
  <c r="F83" i="4"/>
  <c r="J80" i="4"/>
  <c r="K80" i="4" s="1"/>
  <c r="G79" i="4"/>
  <c r="J81" i="4"/>
  <c r="K81" i="4" s="1"/>
  <c r="J78" i="4"/>
  <c r="K78" i="4" s="1"/>
  <c r="O78" i="4"/>
  <c r="R78" i="4"/>
  <c r="S78" i="4" s="1"/>
  <c r="AA78" i="4"/>
  <c r="J76" i="4"/>
  <c r="K76" i="4" s="1"/>
  <c r="O73" i="4"/>
  <c r="R77" i="4"/>
  <c r="S77" i="4" s="1"/>
  <c r="R79" i="4"/>
  <c r="S79" i="4" s="1"/>
  <c r="J79" i="4"/>
  <c r="K79" i="4" s="1"/>
  <c r="P71" i="4"/>
  <c r="P72" i="4" s="1"/>
  <c r="P73" i="4" s="1"/>
  <c r="Q73" i="4" s="1"/>
  <c r="R76" i="4"/>
  <c r="S76" i="4" s="1"/>
  <c r="R75" i="4"/>
  <c r="S75" i="4" s="1"/>
  <c r="V28" i="12"/>
  <c r="V31" i="12"/>
  <c r="G73" i="4"/>
  <c r="J75" i="4"/>
  <c r="K75" i="4" s="1"/>
  <c r="W74" i="4"/>
  <c r="X74" i="4" s="1"/>
  <c r="AA71" i="4"/>
  <c r="AG71" i="4" s="1"/>
  <c r="J74" i="4"/>
  <c r="K74" i="4" s="1"/>
  <c r="AA73" i="4"/>
  <c r="AG73" i="4" s="1"/>
  <c r="R73" i="4"/>
  <c r="S73" i="4" s="1"/>
  <c r="AA72" i="4"/>
  <c r="AG72" i="4" s="1"/>
  <c r="R74" i="4"/>
  <c r="S74" i="4" s="1"/>
  <c r="J73" i="4"/>
  <c r="K73" i="4" s="1"/>
  <c r="H71" i="4"/>
  <c r="H72" i="4" s="1"/>
  <c r="V20" i="12"/>
  <c r="V12" i="12"/>
  <c r="V22" i="12"/>
  <c r="AF9" i="12"/>
  <c r="V27" i="12"/>
  <c r="W27" i="12"/>
  <c r="V14" i="12"/>
  <c r="AB75" i="4"/>
  <c r="W75" i="4"/>
  <c r="J174" i="1"/>
  <c r="J187" i="1"/>
  <c r="H186" i="1"/>
  <c r="N34" i="10"/>
  <c r="Q34" i="10"/>
  <c r="P33" i="10"/>
  <c r="P32" i="10"/>
  <c r="N23" i="10"/>
  <c r="P23" i="10"/>
  <c r="Q23" i="10"/>
  <c r="N24" i="10"/>
  <c r="P24" i="10"/>
  <c r="Q24" i="10"/>
  <c r="N25" i="10"/>
  <c r="P25" i="10"/>
  <c r="Q25" i="10"/>
  <c r="N26" i="10"/>
  <c r="P26" i="10"/>
  <c r="Q26" i="10"/>
  <c r="N27" i="10"/>
  <c r="P27" i="10"/>
  <c r="Q27" i="10"/>
  <c r="N28" i="10"/>
  <c r="P28" i="10"/>
  <c r="Q28" i="10"/>
  <c r="N29" i="10"/>
  <c r="P29" i="10"/>
  <c r="Q29" i="10"/>
  <c r="N30" i="10"/>
  <c r="P30" i="10"/>
  <c r="Q30" i="10"/>
  <c r="N31" i="10"/>
  <c r="P31" i="10"/>
  <c r="Q31" i="10"/>
  <c r="N32" i="10"/>
  <c r="Q32" i="10"/>
  <c r="N33" i="10"/>
  <c r="Q33" i="10"/>
  <c r="AA83" i="4" l="1"/>
  <c r="AG83" i="4" s="1"/>
  <c r="AL10" i="12"/>
  <c r="AE80" i="4"/>
  <c r="AF80" i="4" s="1"/>
  <c r="AG78" i="4"/>
  <c r="AB79" i="4"/>
  <c r="AG79" i="4"/>
  <c r="AB82" i="4"/>
  <c r="AG82" i="4"/>
  <c r="AB80" i="4"/>
  <c r="AG80" i="4"/>
  <c r="AB81" i="4"/>
  <c r="AG81" i="4"/>
  <c r="AB78" i="4"/>
  <c r="AE81" i="4"/>
  <c r="AF81" i="4" s="1"/>
  <c r="AE82" i="4"/>
  <c r="AF82" i="4" s="1"/>
  <c r="AE78" i="4"/>
  <c r="AF78" i="4" s="1"/>
  <c r="AE77" i="4"/>
  <c r="AF77" i="4" s="1"/>
  <c r="AE79" i="4"/>
  <c r="AF79" i="4" s="1"/>
  <c r="AE76" i="4"/>
  <c r="AF76" i="4" s="1"/>
  <c r="AC71" i="4"/>
  <c r="AC72" i="4" s="1"/>
  <c r="AC73" i="4" s="1"/>
  <c r="AC74" i="4" s="1"/>
  <c r="AD74" i="4" s="1"/>
  <c r="AE75" i="4"/>
  <c r="AF75" i="4" s="1"/>
  <c r="P74" i="4"/>
  <c r="Q74" i="4" s="1"/>
  <c r="AE73" i="4"/>
  <c r="AF73" i="4" s="1"/>
  <c r="AB73" i="4"/>
  <c r="AE74" i="4"/>
  <c r="AF74" i="4" s="1"/>
  <c r="W76" i="4"/>
  <c r="X75" i="4"/>
  <c r="H73" i="4"/>
  <c r="H184" i="1"/>
  <c r="P75" i="4" l="1"/>
  <c r="P76" i="4" s="1"/>
  <c r="AD73" i="4"/>
  <c r="AC75" i="4"/>
  <c r="AC76" i="4" s="1"/>
  <c r="H74" i="4"/>
  <c r="I74" i="4" s="1"/>
  <c r="I73" i="4"/>
  <c r="W77" i="4"/>
  <c r="X76" i="4"/>
  <c r="Q22" i="10"/>
  <c r="P22" i="10"/>
  <c r="N22" i="10"/>
  <c r="Q21" i="10"/>
  <c r="P21" i="10"/>
  <c r="N21" i="10"/>
  <c r="Q20" i="10"/>
  <c r="P20" i="10"/>
  <c r="N20" i="10"/>
  <c r="Q19" i="10"/>
  <c r="P19" i="10"/>
  <c r="N19" i="10"/>
  <c r="Q18" i="10"/>
  <c r="P18" i="10"/>
  <c r="N18" i="10"/>
  <c r="Q17" i="10"/>
  <c r="P17" i="10"/>
  <c r="N17" i="10"/>
  <c r="Q16" i="10"/>
  <c r="P16" i="10"/>
  <c r="N16" i="10"/>
  <c r="Q15" i="10"/>
  <c r="P15" i="10"/>
  <c r="N15" i="10"/>
  <c r="Q14" i="10"/>
  <c r="P14" i="10"/>
  <c r="N14" i="10"/>
  <c r="Q13" i="10"/>
  <c r="P13" i="10"/>
  <c r="N13" i="10"/>
  <c r="Q12" i="10"/>
  <c r="N12" i="10"/>
  <c r="Q75" i="4" l="1"/>
  <c r="AD75" i="4"/>
  <c r="X77" i="4"/>
  <c r="W78" i="4"/>
  <c r="H75" i="4"/>
  <c r="AD76" i="4"/>
  <c r="AC77" i="4"/>
  <c r="Q76" i="4"/>
  <c r="P77" i="4"/>
  <c r="I75" i="4" l="1"/>
  <c r="H76" i="4"/>
  <c r="P78" i="4"/>
  <c r="Q77" i="4"/>
  <c r="AD77" i="4"/>
  <c r="AC78" i="4"/>
  <c r="X78" i="4"/>
  <c r="W79" i="4"/>
  <c r="H179" i="1"/>
  <c r="W80" i="4" l="1"/>
  <c r="X79" i="4"/>
  <c r="P79" i="4"/>
  <c r="Q78" i="4"/>
  <c r="AD78" i="4"/>
  <c r="AC79" i="4"/>
  <c r="H77" i="4"/>
  <c r="I76" i="4"/>
  <c r="AC80" i="4" l="1"/>
  <c r="AD79" i="4"/>
  <c r="I77" i="4"/>
  <c r="H78" i="4"/>
  <c r="Q79" i="4"/>
  <c r="P80" i="4"/>
  <c r="W81" i="4"/>
  <c r="X80" i="4"/>
  <c r="I78" i="4" l="1"/>
  <c r="H79" i="4"/>
  <c r="X81" i="4"/>
  <c r="W82" i="4"/>
  <c r="X82" i="4" s="1"/>
  <c r="Q80" i="4"/>
  <c r="P81" i="4"/>
  <c r="AC81" i="4"/>
  <c r="AD80" i="4"/>
  <c r="AD81" i="4" l="1"/>
  <c r="AC82" i="4"/>
  <c r="AD82" i="4" s="1"/>
  <c r="Q81" i="4"/>
  <c r="P82" i="4"/>
  <c r="Q82" i="4" s="1"/>
  <c r="I79" i="4"/>
  <c r="H80" i="4"/>
  <c r="N58" i="4"/>
  <c r="O71" i="4" s="1"/>
  <c r="F58" i="4"/>
  <c r="G71" i="4" s="1"/>
  <c r="H81" i="4" l="1"/>
  <c r="I80" i="4"/>
  <c r="AA58" i="4"/>
  <c r="AB71" i="4" s="1"/>
  <c r="H175" i="1"/>
  <c r="I81" i="4" l="1"/>
  <c r="H82" i="4"/>
  <c r="I82" i="4" s="1"/>
  <c r="H185" i="1"/>
  <c r="H183" i="1"/>
  <c r="H182" i="1"/>
  <c r="H181" i="1"/>
  <c r="H180" i="1"/>
  <c r="H178" i="1"/>
  <c r="H177" i="1"/>
  <c r="H176" i="1"/>
  <c r="H162" i="1"/>
  <c r="G187" i="1"/>
  <c r="F187" i="1"/>
  <c r="E187" i="1"/>
  <c r="K187" i="1" s="1"/>
  <c r="T70" i="4"/>
  <c r="M70" i="4"/>
  <c r="L70" i="4"/>
  <c r="E70" i="4"/>
  <c r="D70" i="4"/>
  <c r="V69" i="4"/>
  <c r="N69" i="4"/>
  <c r="F69" i="4"/>
  <c r="V68" i="4"/>
  <c r="N68" i="4"/>
  <c r="F68" i="4"/>
  <c r="V67" i="4"/>
  <c r="N67" i="4"/>
  <c r="F67" i="4"/>
  <c r="AA67" i="4" s="1"/>
  <c r="V66" i="4"/>
  <c r="N66" i="4"/>
  <c r="F66" i="4"/>
  <c r="V65" i="4"/>
  <c r="N65" i="4"/>
  <c r="F65" i="4"/>
  <c r="V64" i="4"/>
  <c r="N64" i="4"/>
  <c r="F64" i="4"/>
  <c r="V63" i="4"/>
  <c r="N63" i="4"/>
  <c r="F63" i="4"/>
  <c r="AA63" i="4" s="1"/>
  <c r="V62" i="4"/>
  <c r="N62" i="4"/>
  <c r="F62" i="4"/>
  <c r="V61" i="4"/>
  <c r="N61" i="4"/>
  <c r="F61" i="4"/>
  <c r="V60" i="4"/>
  <c r="N60" i="4"/>
  <c r="F60" i="4"/>
  <c r="V59" i="4"/>
  <c r="N59" i="4"/>
  <c r="O72" i="4" s="1"/>
  <c r="F59" i="4"/>
  <c r="G72" i="4" s="1"/>
  <c r="Y69" i="4"/>
  <c r="AA69" i="4" l="1"/>
  <c r="J71" i="4"/>
  <c r="J72" i="4"/>
  <c r="R72" i="4"/>
  <c r="R71" i="4"/>
  <c r="AA60" i="4"/>
  <c r="AA64" i="4"/>
  <c r="AA68" i="4"/>
  <c r="AA65" i="4"/>
  <c r="AA66" i="4"/>
  <c r="AA62" i="4"/>
  <c r="AA61" i="4"/>
  <c r="AA59" i="4"/>
  <c r="AB72" i="4" s="1"/>
  <c r="P58" i="4"/>
  <c r="H58" i="4"/>
  <c r="I71" i="4" s="1"/>
  <c r="W58" i="4"/>
  <c r="Y60" i="4"/>
  <c r="Y64" i="4"/>
  <c r="Y68" i="4"/>
  <c r="J69" i="4"/>
  <c r="N70" i="4"/>
  <c r="Y59" i="4"/>
  <c r="Z72" i="4" s="1"/>
  <c r="Y63" i="4"/>
  <c r="Y67" i="4"/>
  <c r="Y58" i="4"/>
  <c r="Z71" i="4" s="1"/>
  <c r="Y62" i="4"/>
  <c r="Y66" i="4"/>
  <c r="R69" i="4"/>
  <c r="U70" i="4"/>
  <c r="Y61" i="4"/>
  <c r="Y65" i="4"/>
  <c r="W59" i="4" l="1"/>
  <c r="X72" i="4" s="1"/>
  <c r="X71" i="4"/>
  <c r="P59" i="4"/>
  <c r="Q72" i="4" s="1"/>
  <c r="Q71" i="4"/>
  <c r="AE71" i="4"/>
  <c r="AE72" i="4"/>
  <c r="P60" i="4"/>
  <c r="AA70" i="4"/>
  <c r="AE69" i="4"/>
  <c r="AC58" i="4"/>
  <c r="W60" i="4"/>
  <c r="H59" i="4"/>
  <c r="I72" i="4" s="1"/>
  <c r="N46" i="4"/>
  <c r="O59" i="4" s="1"/>
  <c r="F46" i="4"/>
  <c r="G59" i="4" s="1"/>
  <c r="AC59" i="4" l="1"/>
  <c r="AD71" i="4"/>
  <c r="P61" i="4"/>
  <c r="P62" i="4" s="1"/>
  <c r="P63" i="4" s="1"/>
  <c r="W61" i="4"/>
  <c r="H60" i="4"/>
  <c r="AA46" i="4"/>
  <c r="AB59" i="4" s="1"/>
  <c r="T57" i="4"/>
  <c r="M57" i="4"/>
  <c r="L57" i="4"/>
  <c r="E57" i="4"/>
  <c r="D57" i="4"/>
  <c r="N56" i="4"/>
  <c r="F56" i="4"/>
  <c r="N55" i="4"/>
  <c r="O68" i="4" s="1"/>
  <c r="F55" i="4"/>
  <c r="G68" i="4" s="1"/>
  <c r="N54" i="4"/>
  <c r="O67" i="4" s="1"/>
  <c r="F54" i="4"/>
  <c r="G67" i="4" s="1"/>
  <c r="N53" i="4"/>
  <c r="O66" i="4" s="1"/>
  <c r="F53" i="4"/>
  <c r="G66" i="4" s="1"/>
  <c r="N52" i="4"/>
  <c r="O65" i="4" s="1"/>
  <c r="F52" i="4"/>
  <c r="G65" i="4" s="1"/>
  <c r="N51" i="4"/>
  <c r="O64" i="4" s="1"/>
  <c r="F51" i="4"/>
  <c r="G64" i="4" s="1"/>
  <c r="N50" i="4"/>
  <c r="O63" i="4" s="1"/>
  <c r="F50" i="4"/>
  <c r="G63" i="4" s="1"/>
  <c r="N49" i="4"/>
  <c r="O62" i="4" s="1"/>
  <c r="F49" i="4"/>
  <c r="G62" i="4" s="1"/>
  <c r="N48" i="4"/>
  <c r="O61" i="4" s="1"/>
  <c r="F48" i="4"/>
  <c r="G61" i="4" s="1"/>
  <c r="N47" i="4"/>
  <c r="O60" i="4" s="1"/>
  <c r="F47" i="4"/>
  <c r="G60" i="4" s="1"/>
  <c r="U45" i="4"/>
  <c r="N45" i="4"/>
  <c r="F45" i="4"/>
  <c r="G58" i="4" s="1"/>
  <c r="G174" i="1"/>
  <c r="F174" i="1"/>
  <c r="E174" i="1"/>
  <c r="D174" i="1"/>
  <c r="H173" i="1"/>
  <c r="H172" i="1"/>
  <c r="H171" i="1"/>
  <c r="H170" i="1"/>
  <c r="H169" i="1"/>
  <c r="H168" i="1"/>
  <c r="H167" i="1"/>
  <c r="H166" i="1"/>
  <c r="H165" i="1"/>
  <c r="H164" i="1"/>
  <c r="H163" i="1"/>
  <c r="K174" i="1" l="1"/>
  <c r="AC60" i="4"/>
  <c r="AC61" i="4" s="1"/>
  <c r="AC62" i="4" s="1"/>
  <c r="AC63" i="4" s="1"/>
  <c r="AD72" i="4"/>
  <c r="H174" i="1"/>
  <c r="O69" i="4"/>
  <c r="R64" i="4"/>
  <c r="R67" i="4"/>
  <c r="R63" i="4"/>
  <c r="R66" i="4"/>
  <c r="R65" i="4"/>
  <c r="R68" i="4"/>
  <c r="J66" i="4"/>
  <c r="J64" i="4"/>
  <c r="G69" i="4"/>
  <c r="J65" i="4"/>
  <c r="J63" i="4"/>
  <c r="J67" i="4"/>
  <c r="J68" i="4"/>
  <c r="J62" i="4"/>
  <c r="R62" i="4"/>
  <c r="R61" i="4"/>
  <c r="R58" i="4"/>
  <c r="S71" i="4" s="1"/>
  <c r="R59" i="4"/>
  <c r="S72" i="4" s="1"/>
  <c r="R60" i="4"/>
  <c r="AA49" i="4"/>
  <c r="AB62" i="4" s="1"/>
  <c r="Y56" i="4"/>
  <c r="Z69" i="4" s="1"/>
  <c r="V58" i="4"/>
  <c r="N57" i="4"/>
  <c r="O58" i="4"/>
  <c r="AA50" i="4"/>
  <c r="AB63" i="4" s="1"/>
  <c r="J58" i="4"/>
  <c r="K71" i="4" s="1"/>
  <c r="J59" i="4"/>
  <c r="K72" i="4" s="1"/>
  <c r="J60" i="4"/>
  <c r="J61" i="4"/>
  <c r="J56" i="4"/>
  <c r="K69" i="4" s="1"/>
  <c r="AA56" i="4"/>
  <c r="W62" i="4"/>
  <c r="P64" i="4"/>
  <c r="H61" i="4"/>
  <c r="AC64" i="4"/>
  <c r="AA51" i="4"/>
  <c r="AB64" i="4" s="1"/>
  <c r="AA53" i="4"/>
  <c r="AB66" i="4" s="1"/>
  <c r="AA55" i="4"/>
  <c r="AB68" i="4" s="1"/>
  <c r="AA54" i="4"/>
  <c r="AB67" i="4" s="1"/>
  <c r="AA52" i="4"/>
  <c r="AB65" i="4" s="1"/>
  <c r="AA48" i="4"/>
  <c r="AB61" i="4" s="1"/>
  <c r="AA47" i="4"/>
  <c r="AB60" i="4" s="1"/>
  <c r="P45" i="4"/>
  <c r="H45" i="4"/>
  <c r="W45" i="4"/>
  <c r="X58" i="4" s="1"/>
  <c r="AA45" i="4"/>
  <c r="AB58" i="4" s="1"/>
  <c r="R56" i="4"/>
  <c r="S69" i="4" s="1"/>
  <c r="F57" i="4"/>
  <c r="U57" i="4"/>
  <c r="AE21" i="5"/>
  <c r="AF21" i="5"/>
  <c r="AG21" i="5"/>
  <c r="AH21" i="5"/>
  <c r="AI21" i="5"/>
  <c r="AJ21" i="5"/>
  <c r="AE22" i="5"/>
  <c r="AF22" i="5"/>
  <c r="AG22" i="5"/>
  <c r="AH22" i="5"/>
  <c r="AI22" i="5"/>
  <c r="AJ22" i="5"/>
  <c r="AE23" i="5"/>
  <c r="AF23" i="5"/>
  <c r="AG23" i="5"/>
  <c r="AH23" i="5"/>
  <c r="AI23" i="5"/>
  <c r="AJ23" i="5"/>
  <c r="AE24" i="5"/>
  <c r="AF24" i="5"/>
  <c r="AG24" i="5"/>
  <c r="AH24" i="5"/>
  <c r="AI24" i="5"/>
  <c r="AJ24" i="5"/>
  <c r="AE25" i="5"/>
  <c r="AF25" i="5"/>
  <c r="AG25" i="5"/>
  <c r="AH25" i="5"/>
  <c r="AI25" i="5"/>
  <c r="AJ25" i="5"/>
  <c r="AE26" i="5"/>
  <c r="AF26" i="5"/>
  <c r="AG26" i="5"/>
  <c r="AH26" i="5"/>
  <c r="AI26" i="5"/>
  <c r="AJ26" i="5"/>
  <c r="AE27" i="5"/>
  <c r="AF27" i="5"/>
  <c r="AG27" i="5"/>
  <c r="AH27" i="5"/>
  <c r="AI27" i="5"/>
  <c r="AJ27" i="5"/>
  <c r="AE28" i="5"/>
  <c r="AF28" i="5"/>
  <c r="AG28" i="5"/>
  <c r="AH28" i="5"/>
  <c r="AI28" i="5"/>
  <c r="AJ28" i="5"/>
  <c r="AE29" i="5"/>
  <c r="AF29" i="5"/>
  <c r="AG29" i="5"/>
  <c r="AH29" i="5"/>
  <c r="AI29" i="5"/>
  <c r="AJ29" i="5"/>
  <c r="AE30" i="5"/>
  <c r="AF30" i="5"/>
  <c r="AG30" i="5"/>
  <c r="AH30" i="5"/>
  <c r="AI30" i="5"/>
  <c r="AJ30" i="5"/>
  <c r="AE31" i="5"/>
  <c r="AF31" i="5"/>
  <c r="AG31" i="5"/>
  <c r="AH31" i="5"/>
  <c r="AI31" i="5"/>
  <c r="AJ31" i="5"/>
  <c r="AE32" i="5"/>
  <c r="AF32" i="5"/>
  <c r="AG32" i="5"/>
  <c r="AH32" i="5"/>
  <c r="AI32" i="5"/>
  <c r="AJ32" i="5"/>
  <c r="AE33" i="5"/>
  <c r="AF33" i="5"/>
  <c r="AG33" i="5"/>
  <c r="AH33" i="5"/>
  <c r="AI33" i="5"/>
  <c r="AJ33" i="5"/>
  <c r="AE34" i="5"/>
  <c r="AF34" i="5"/>
  <c r="AG34" i="5"/>
  <c r="AH34" i="5"/>
  <c r="AI34" i="5"/>
  <c r="AJ34" i="5"/>
  <c r="AE35" i="5"/>
  <c r="AF35" i="5"/>
  <c r="AG35" i="5"/>
  <c r="AH35" i="5"/>
  <c r="AI35" i="5"/>
  <c r="AJ35" i="5"/>
  <c r="AN19" i="6"/>
  <c r="AN14" i="6" s="1"/>
  <c r="AE21" i="6"/>
  <c r="AF21" i="6"/>
  <c r="AG21" i="6"/>
  <c r="AH21" i="6"/>
  <c r="AI21" i="6"/>
  <c r="AJ21" i="6"/>
  <c r="AE22" i="6"/>
  <c r="AF22" i="6"/>
  <c r="AG22" i="6"/>
  <c r="AH22" i="6"/>
  <c r="AI22" i="6"/>
  <c r="AJ22" i="6"/>
  <c r="AE23" i="6"/>
  <c r="AF23" i="6"/>
  <c r="AG23" i="6"/>
  <c r="AH23" i="6"/>
  <c r="AI23" i="6"/>
  <c r="AJ23" i="6"/>
  <c r="AE24" i="6"/>
  <c r="AF24" i="6"/>
  <c r="AG24" i="6"/>
  <c r="AH24" i="6"/>
  <c r="AI24" i="6"/>
  <c r="AJ24" i="6"/>
  <c r="AE25" i="6"/>
  <c r="AF25" i="6"/>
  <c r="AG25" i="6"/>
  <c r="AH25" i="6"/>
  <c r="AI25" i="6"/>
  <c r="AJ25" i="6"/>
  <c r="AE26" i="6"/>
  <c r="AF26" i="6"/>
  <c r="AG26" i="6"/>
  <c r="AH26" i="6"/>
  <c r="AI26" i="6"/>
  <c r="AJ26" i="6"/>
  <c r="AE27" i="6"/>
  <c r="AF27" i="6"/>
  <c r="AG27" i="6"/>
  <c r="AH27" i="6"/>
  <c r="AI27" i="6"/>
  <c r="AJ27" i="6"/>
  <c r="AE28" i="6"/>
  <c r="AF28" i="6"/>
  <c r="AG28" i="6"/>
  <c r="AH28" i="6"/>
  <c r="AI28" i="6"/>
  <c r="AJ28" i="6"/>
  <c r="AE29" i="6"/>
  <c r="AF29" i="6"/>
  <c r="AG29" i="6"/>
  <c r="AH29" i="6"/>
  <c r="AI29" i="6"/>
  <c r="AJ29" i="6"/>
  <c r="AE30" i="6"/>
  <c r="AF30" i="6"/>
  <c r="AG30" i="6"/>
  <c r="AH30" i="6"/>
  <c r="AI30" i="6"/>
  <c r="AJ30" i="6"/>
  <c r="AE31" i="6"/>
  <c r="AF31" i="6"/>
  <c r="AG31" i="6"/>
  <c r="AH31" i="6"/>
  <c r="AI31" i="6"/>
  <c r="AJ31" i="6"/>
  <c r="AE32" i="6"/>
  <c r="AF32" i="6"/>
  <c r="AG32" i="6"/>
  <c r="AH32" i="6"/>
  <c r="AI32" i="6"/>
  <c r="AJ32" i="6"/>
  <c r="AE33" i="6"/>
  <c r="AF33" i="6"/>
  <c r="AG33" i="6"/>
  <c r="AH33" i="6"/>
  <c r="AI33" i="6"/>
  <c r="AJ33" i="6"/>
  <c r="AE34" i="6"/>
  <c r="AF34" i="6"/>
  <c r="AG34" i="6"/>
  <c r="AH34" i="6"/>
  <c r="AI34" i="6"/>
  <c r="AJ34" i="6"/>
  <c r="AE35" i="6"/>
  <c r="AF35" i="6"/>
  <c r="AG35" i="6"/>
  <c r="AH35" i="6"/>
  <c r="AI35" i="6"/>
  <c r="AJ35" i="6"/>
  <c r="AE68" i="4" l="1"/>
  <c r="AB69" i="4"/>
  <c r="AE67" i="4"/>
  <c r="AE63" i="4"/>
  <c r="AE66" i="4"/>
  <c r="AE64" i="4"/>
  <c r="AE65" i="4"/>
  <c r="AE62" i="4"/>
  <c r="AE61" i="4"/>
  <c r="H46" i="4"/>
  <c r="I59" i="4" s="1"/>
  <c r="I58" i="4"/>
  <c r="P46" i="4"/>
  <c r="Q58" i="4"/>
  <c r="AE58" i="4"/>
  <c r="AF71" i="4" s="1"/>
  <c r="AE59" i="4"/>
  <c r="AF72" i="4" s="1"/>
  <c r="AE60" i="4"/>
  <c r="P65" i="4"/>
  <c r="H62" i="4"/>
  <c r="W63" i="4"/>
  <c r="AC65" i="4"/>
  <c r="AA57" i="4"/>
  <c r="H47" i="4"/>
  <c r="I60" i="4" s="1"/>
  <c r="AC45" i="4"/>
  <c r="AD58" i="4" s="1"/>
  <c r="AE56" i="4"/>
  <c r="AF69" i="4" s="1"/>
  <c r="W46" i="4"/>
  <c r="X59" i="4" s="1"/>
  <c r="AN3" i="6"/>
  <c r="P47" i="4" l="1"/>
  <c r="Q59" i="4"/>
  <c r="H63" i="4"/>
  <c r="P66" i="4"/>
  <c r="AC66" i="4"/>
  <c r="W64" i="4"/>
  <c r="AC46" i="4"/>
  <c r="W47" i="4"/>
  <c r="X60" i="4" s="1"/>
  <c r="H48" i="4"/>
  <c r="I61" i="4" s="1"/>
  <c r="F41" i="4"/>
  <c r="G54" i="4" s="1"/>
  <c r="Q60" i="4" l="1"/>
  <c r="P48" i="4"/>
  <c r="AC47" i="4"/>
  <c r="AD60" i="4" s="1"/>
  <c r="AD59" i="4"/>
  <c r="W65" i="4"/>
  <c r="H64" i="4"/>
  <c r="P67" i="4"/>
  <c r="AC67" i="4"/>
  <c r="H49" i="4"/>
  <c r="I62" i="4" s="1"/>
  <c r="W48" i="4"/>
  <c r="X61" i="4" s="1"/>
  <c r="AN19" i="5"/>
  <c r="AN3" i="5" s="1"/>
  <c r="AM19" i="5"/>
  <c r="AM4" i="5" s="1"/>
  <c r="AL19" i="5"/>
  <c r="AL4" i="5" s="1"/>
  <c r="AN17" i="5"/>
  <c r="AM5" i="5"/>
  <c r="AN5" i="6"/>
  <c r="AM19" i="6"/>
  <c r="AM4" i="6" s="1"/>
  <c r="AL19" i="6"/>
  <c r="AL6" i="6" s="1"/>
  <c r="Y35" i="6"/>
  <c r="X35" i="6"/>
  <c r="W35" i="6"/>
  <c r="V35" i="6"/>
  <c r="U35" i="6"/>
  <c r="T35" i="6"/>
  <c r="S35" i="6"/>
  <c r="R35" i="6"/>
  <c r="Q35" i="6"/>
  <c r="P35" i="6"/>
  <c r="O35" i="6"/>
  <c r="N35" i="6"/>
  <c r="AD35" i="6"/>
  <c r="AC35" i="6"/>
  <c r="AB35" i="6"/>
  <c r="AA35" i="6"/>
  <c r="Z35" i="6"/>
  <c r="Y34" i="6"/>
  <c r="X34" i="6"/>
  <c r="W34" i="6"/>
  <c r="V34" i="6"/>
  <c r="U34" i="6"/>
  <c r="T34" i="6"/>
  <c r="S34" i="6"/>
  <c r="R34" i="6"/>
  <c r="Q34" i="6"/>
  <c r="P34" i="6"/>
  <c r="O34" i="6"/>
  <c r="N34" i="6"/>
  <c r="AD34" i="6"/>
  <c r="AC34" i="6"/>
  <c r="AB34" i="6"/>
  <c r="AA34" i="6"/>
  <c r="Z34" i="6"/>
  <c r="Y33" i="6"/>
  <c r="X33" i="6"/>
  <c r="W33" i="6"/>
  <c r="V33" i="6"/>
  <c r="U33" i="6"/>
  <c r="T33" i="6"/>
  <c r="S33" i="6"/>
  <c r="R33" i="6"/>
  <c r="Q33" i="6"/>
  <c r="P33" i="6"/>
  <c r="O33" i="6"/>
  <c r="N33" i="6"/>
  <c r="AD33" i="6"/>
  <c r="AC33" i="6"/>
  <c r="AB33" i="6"/>
  <c r="AA33" i="6"/>
  <c r="Z33" i="6"/>
  <c r="Y32" i="6"/>
  <c r="X32" i="6"/>
  <c r="W32" i="6"/>
  <c r="V32" i="6"/>
  <c r="U32" i="6"/>
  <c r="T32" i="6"/>
  <c r="S32" i="6"/>
  <c r="R32" i="6"/>
  <c r="Q32" i="6"/>
  <c r="P32" i="6"/>
  <c r="O32" i="6"/>
  <c r="N32" i="6"/>
  <c r="AD32" i="6"/>
  <c r="AC32" i="6"/>
  <c r="AB32" i="6"/>
  <c r="AA32" i="6"/>
  <c r="Z32" i="6"/>
  <c r="Y31" i="6"/>
  <c r="X31" i="6"/>
  <c r="W31" i="6"/>
  <c r="V31" i="6"/>
  <c r="U31" i="6"/>
  <c r="T31" i="6"/>
  <c r="S31" i="6"/>
  <c r="R31" i="6"/>
  <c r="Q31" i="6"/>
  <c r="P31" i="6"/>
  <c r="O31" i="6"/>
  <c r="N31" i="6"/>
  <c r="AD31" i="6"/>
  <c r="AC31" i="6"/>
  <c r="AB31" i="6"/>
  <c r="AA31" i="6"/>
  <c r="Z31" i="6"/>
  <c r="Y30" i="6"/>
  <c r="X30" i="6"/>
  <c r="W30" i="6"/>
  <c r="V30" i="6"/>
  <c r="U30" i="6"/>
  <c r="T30" i="6"/>
  <c r="S30" i="6"/>
  <c r="R30" i="6"/>
  <c r="Q30" i="6"/>
  <c r="P30" i="6"/>
  <c r="O30" i="6"/>
  <c r="N30" i="6"/>
  <c r="AD30" i="6"/>
  <c r="AC30" i="6"/>
  <c r="AB30" i="6"/>
  <c r="AA30" i="6"/>
  <c r="Z30" i="6"/>
  <c r="Y29" i="6"/>
  <c r="X29" i="6"/>
  <c r="W29" i="6"/>
  <c r="V29" i="6"/>
  <c r="U29" i="6"/>
  <c r="T29" i="6"/>
  <c r="S29" i="6"/>
  <c r="R29" i="6"/>
  <c r="Q29" i="6"/>
  <c r="P29" i="6"/>
  <c r="O29" i="6"/>
  <c r="N29" i="6"/>
  <c r="AD29" i="6"/>
  <c r="AC29" i="6"/>
  <c r="AB29" i="6"/>
  <c r="AA29" i="6"/>
  <c r="Z29" i="6"/>
  <c r="Y28" i="6"/>
  <c r="X28" i="6"/>
  <c r="W28" i="6"/>
  <c r="V28" i="6"/>
  <c r="U28" i="6"/>
  <c r="T28" i="6"/>
  <c r="S28" i="6"/>
  <c r="R28" i="6"/>
  <c r="Q28" i="6"/>
  <c r="P28" i="6"/>
  <c r="O28" i="6"/>
  <c r="N28" i="6"/>
  <c r="AD28" i="6"/>
  <c r="AC28" i="6"/>
  <c r="AB28" i="6"/>
  <c r="AA28" i="6"/>
  <c r="Z28" i="6"/>
  <c r="Y27" i="6"/>
  <c r="X27" i="6"/>
  <c r="W27" i="6"/>
  <c r="V27" i="6"/>
  <c r="U27" i="6"/>
  <c r="T27" i="6"/>
  <c r="S27" i="6"/>
  <c r="R27" i="6"/>
  <c r="Q27" i="6"/>
  <c r="P27" i="6"/>
  <c r="O27" i="6"/>
  <c r="N27" i="6"/>
  <c r="AD27" i="6"/>
  <c r="AC27" i="6"/>
  <c r="AB27" i="6"/>
  <c r="AA27" i="6"/>
  <c r="Z27" i="6"/>
  <c r="Y26" i="6"/>
  <c r="X26" i="6"/>
  <c r="W26" i="6"/>
  <c r="V26" i="6"/>
  <c r="U26" i="6"/>
  <c r="T26" i="6"/>
  <c r="S26" i="6"/>
  <c r="R26" i="6"/>
  <c r="Q26" i="6"/>
  <c r="P26" i="6"/>
  <c r="O26" i="6"/>
  <c r="N26" i="6"/>
  <c r="AD26" i="6"/>
  <c r="AC26" i="6"/>
  <c r="AB26" i="6"/>
  <c r="AA26" i="6"/>
  <c r="Z26" i="6"/>
  <c r="Y25" i="6"/>
  <c r="X25" i="6"/>
  <c r="W25" i="6"/>
  <c r="V25" i="6"/>
  <c r="U25" i="6"/>
  <c r="T25" i="6"/>
  <c r="S25" i="6"/>
  <c r="R25" i="6"/>
  <c r="Q25" i="6"/>
  <c r="P25" i="6"/>
  <c r="O25" i="6"/>
  <c r="N25" i="6"/>
  <c r="AD25" i="6"/>
  <c r="AC25" i="6"/>
  <c r="AB25" i="6"/>
  <c r="AA25" i="6"/>
  <c r="Z25" i="6"/>
  <c r="Y24" i="6"/>
  <c r="X24" i="6"/>
  <c r="W24" i="6"/>
  <c r="V24" i="6"/>
  <c r="U24" i="6"/>
  <c r="T24" i="6"/>
  <c r="S24" i="6"/>
  <c r="R24" i="6"/>
  <c r="Q24" i="6"/>
  <c r="P24" i="6"/>
  <c r="O24" i="6"/>
  <c r="N24" i="6"/>
  <c r="AD24" i="6"/>
  <c r="AC24" i="6"/>
  <c r="AB24" i="6"/>
  <c r="AA24" i="6"/>
  <c r="Z24" i="6"/>
  <c r="Y23" i="6"/>
  <c r="X23" i="6"/>
  <c r="W23" i="6"/>
  <c r="V23" i="6"/>
  <c r="U23" i="6"/>
  <c r="T23" i="6"/>
  <c r="S23" i="6"/>
  <c r="R23" i="6"/>
  <c r="Q23" i="6"/>
  <c r="P23" i="6"/>
  <c r="O23" i="6"/>
  <c r="N23" i="6"/>
  <c r="AD23" i="6"/>
  <c r="AC23" i="6"/>
  <c r="AB23" i="6"/>
  <c r="AA23" i="6"/>
  <c r="Z23" i="6"/>
  <c r="Y22" i="6"/>
  <c r="X22" i="6"/>
  <c r="W22" i="6"/>
  <c r="V22" i="6"/>
  <c r="U22" i="6"/>
  <c r="T22" i="6"/>
  <c r="S22" i="6"/>
  <c r="R22" i="6"/>
  <c r="Q22" i="6"/>
  <c r="P22" i="6"/>
  <c r="O22" i="6"/>
  <c r="N22" i="6"/>
  <c r="AD22" i="6"/>
  <c r="AC22" i="6"/>
  <c r="AB22" i="6"/>
  <c r="AA22" i="6"/>
  <c r="Z22" i="6"/>
  <c r="Y21" i="6"/>
  <c r="X21" i="6"/>
  <c r="W21" i="6"/>
  <c r="V21" i="6"/>
  <c r="U21" i="6"/>
  <c r="T21" i="6"/>
  <c r="S21" i="6"/>
  <c r="R21" i="6"/>
  <c r="Q21" i="6"/>
  <c r="P21" i="6"/>
  <c r="O21" i="6"/>
  <c r="N21" i="6"/>
  <c r="AD21" i="6"/>
  <c r="AC21" i="6"/>
  <c r="AB21" i="6"/>
  <c r="AA21" i="6"/>
  <c r="Z21" i="6"/>
  <c r="Y35" i="5"/>
  <c r="X35" i="5"/>
  <c r="W35" i="5"/>
  <c r="V35" i="5"/>
  <c r="U35" i="5"/>
  <c r="T35" i="5"/>
  <c r="S35" i="5"/>
  <c r="R35" i="5"/>
  <c r="Q35" i="5"/>
  <c r="P35" i="5"/>
  <c r="O35" i="5"/>
  <c r="N35" i="5"/>
  <c r="AD35" i="5"/>
  <c r="AC35" i="5"/>
  <c r="AB35" i="5"/>
  <c r="AA35" i="5"/>
  <c r="Z35" i="5"/>
  <c r="Y34" i="5"/>
  <c r="X34" i="5"/>
  <c r="W34" i="5"/>
  <c r="V34" i="5"/>
  <c r="U34" i="5"/>
  <c r="T34" i="5"/>
  <c r="S34" i="5"/>
  <c r="R34" i="5"/>
  <c r="Q34" i="5"/>
  <c r="P34" i="5"/>
  <c r="O34" i="5"/>
  <c r="N34" i="5"/>
  <c r="AD34" i="5"/>
  <c r="AC34" i="5"/>
  <c r="AB34" i="5"/>
  <c r="AA34" i="5"/>
  <c r="Z34" i="5"/>
  <c r="Y33" i="5"/>
  <c r="X33" i="5"/>
  <c r="W33" i="5"/>
  <c r="V33" i="5"/>
  <c r="U33" i="5"/>
  <c r="T33" i="5"/>
  <c r="S33" i="5"/>
  <c r="R33" i="5"/>
  <c r="Q33" i="5"/>
  <c r="P33" i="5"/>
  <c r="O33" i="5"/>
  <c r="N33" i="5"/>
  <c r="AD33" i="5"/>
  <c r="AC33" i="5"/>
  <c r="AB33" i="5"/>
  <c r="AA33" i="5"/>
  <c r="Z33" i="5"/>
  <c r="Y32" i="5"/>
  <c r="X32" i="5"/>
  <c r="W32" i="5"/>
  <c r="V32" i="5"/>
  <c r="U32" i="5"/>
  <c r="T32" i="5"/>
  <c r="S32" i="5"/>
  <c r="R32" i="5"/>
  <c r="Q32" i="5"/>
  <c r="P32" i="5"/>
  <c r="O32" i="5"/>
  <c r="N32" i="5"/>
  <c r="AD32" i="5"/>
  <c r="AC32" i="5"/>
  <c r="AB32" i="5"/>
  <c r="AA32" i="5"/>
  <c r="Z32" i="5"/>
  <c r="Y31" i="5"/>
  <c r="X31" i="5"/>
  <c r="W31" i="5"/>
  <c r="V31" i="5"/>
  <c r="U31" i="5"/>
  <c r="T31" i="5"/>
  <c r="S31" i="5"/>
  <c r="R31" i="5"/>
  <c r="Q31" i="5"/>
  <c r="P31" i="5"/>
  <c r="O31" i="5"/>
  <c r="N31" i="5"/>
  <c r="AD31" i="5"/>
  <c r="AC31" i="5"/>
  <c r="AB31" i="5"/>
  <c r="AA31" i="5"/>
  <c r="Z31" i="5"/>
  <c r="Y30" i="5"/>
  <c r="X30" i="5"/>
  <c r="W30" i="5"/>
  <c r="V30" i="5"/>
  <c r="U30" i="5"/>
  <c r="T30" i="5"/>
  <c r="S30" i="5"/>
  <c r="R30" i="5"/>
  <c r="Q30" i="5"/>
  <c r="P30" i="5"/>
  <c r="O30" i="5"/>
  <c r="N30" i="5"/>
  <c r="AD30" i="5"/>
  <c r="AC30" i="5"/>
  <c r="AB30" i="5"/>
  <c r="AA30" i="5"/>
  <c r="Z30" i="5"/>
  <c r="Y29" i="5"/>
  <c r="X29" i="5"/>
  <c r="W29" i="5"/>
  <c r="V29" i="5"/>
  <c r="U29" i="5"/>
  <c r="T29" i="5"/>
  <c r="S29" i="5"/>
  <c r="R29" i="5"/>
  <c r="Q29" i="5"/>
  <c r="P29" i="5"/>
  <c r="O29" i="5"/>
  <c r="N29" i="5"/>
  <c r="AD29" i="5"/>
  <c r="AC29" i="5"/>
  <c r="AB29" i="5"/>
  <c r="AA29" i="5"/>
  <c r="Z29" i="5"/>
  <c r="Y28" i="5"/>
  <c r="X28" i="5"/>
  <c r="W28" i="5"/>
  <c r="V28" i="5"/>
  <c r="U28" i="5"/>
  <c r="T28" i="5"/>
  <c r="S28" i="5"/>
  <c r="R28" i="5"/>
  <c r="Q28" i="5"/>
  <c r="P28" i="5"/>
  <c r="O28" i="5"/>
  <c r="N28" i="5"/>
  <c r="AD28" i="5"/>
  <c r="AC28" i="5"/>
  <c r="AB28" i="5"/>
  <c r="AA28" i="5"/>
  <c r="Z28" i="5"/>
  <c r="Y27" i="5"/>
  <c r="X27" i="5"/>
  <c r="W27" i="5"/>
  <c r="V27" i="5"/>
  <c r="U27" i="5"/>
  <c r="T27" i="5"/>
  <c r="S27" i="5"/>
  <c r="R27" i="5"/>
  <c r="Q27" i="5"/>
  <c r="P27" i="5"/>
  <c r="O27" i="5"/>
  <c r="N27" i="5"/>
  <c r="AD27" i="5"/>
  <c r="AC27" i="5"/>
  <c r="AB27" i="5"/>
  <c r="AA27" i="5"/>
  <c r="Z27" i="5"/>
  <c r="Y26" i="5"/>
  <c r="X26" i="5"/>
  <c r="W26" i="5"/>
  <c r="V26" i="5"/>
  <c r="U26" i="5"/>
  <c r="T26" i="5"/>
  <c r="S26" i="5"/>
  <c r="R26" i="5"/>
  <c r="Q26" i="5"/>
  <c r="P26" i="5"/>
  <c r="O26" i="5"/>
  <c r="N26" i="5"/>
  <c r="AD26" i="5"/>
  <c r="AC26" i="5"/>
  <c r="AB26" i="5"/>
  <c r="AA26" i="5"/>
  <c r="Z26" i="5"/>
  <c r="Y25" i="5"/>
  <c r="X25" i="5"/>
  <c r="W25" i="5"/>
  <c r="V25" i="5"/>
  <c r="U25" i="5"/>
  <c r="T25" i="5"/>
  <c r="S25" i="5"/>
  <c r="R25" i="5"/>
  <c r="Q25" i="5"/>
  <c r="P25" i="5"/>
  <c r="O25" i="5"/>
  <c r="N25" i="5"/>
  <c r="AD25" i="5"/>
  <c r="AC25" i="5"/>
  <c r="AB25" i="5"/>
  <c r="AA25" i="5"/>
  <c r="Z25" i="5"/>
  <c r="Y24" i="5"/>
  <c r="X24" i="5"/>
  <c r="W24" i="5"/>
  <c r="V24" i="5"/>
  <c r="U24" i="5"/>
  <c r="T24" i="5"/>
  <c r="S24" i="5"/>
  <c r="R24" i="5"/>
  <c r="Q24" i="5"/>
  <c r="P24" i="5"/>
  <c r="O24" i="5"/>
  <c r="N24" i="5"/>
  <c r="AD24" i="5"/>
  <c r="AC24" i="5"/>
  <c r="AB24" i="5"/>
  <c r="AA24" i="5"/>
  <c r="Z24" i="5"/>
  <c r="Y23" i="5"/>
  <c r="X23" i="5"/>
  <c r="W23" i="5"/>
  <c r="V23" i="5"/>
  <c r="U23" i="5"/>
  <c r="T23" i="5"/>
  <c r="S23" i="5"/>
  <c r="R23" i="5"/>
  <c r="Q23" i="5"/>
  <c r="P23" i="5"/>
  <c r="O23" i="5"/>
  <c r="N23" i="5"/>
  <c r="AD23" i="5"/>
  <c r="AC23" i="5"/>
  <c r="AB23" i="5"/>
  <c r="AA23" i="5"/>
  <c r="Z23" i="5"/>
  <c r="Y22" i="5"/>
  <c r="X22" i="5"/>
  <c r="W22" i="5"/>
  <c r="V22" i="5"/>
  <c r="U22" i="5"/>
  <c r="T22" i="5"/>
  <c r="S22" i="5"/>
  <c r="R22" i="5"/>
  <c r="Q22" i="5"/>
  <c r="P22" i="5"/>
  <c r="O22" i="5"/>
  <c r="N22" i="5"/>
  <c r="AD22" i="5"/>
  <c r="AC22" i="5"/>
  <c r="AB22" i="5"/>
  <c r="AA22" i="5"/>
  <c r="Z22" i="5"/>
  <c r="Y21" i="5"/>
  <c r="X21" i="5"/>
  <c r="W21" i="5"/>
  <c r="V21" i="5"/>
  <c r="U21" i="5"/>
  <c r="T21" i="5"/>
  <c r="S21" i="5"/>
  <c r="R21" i="5"/>
  <c r="Q21" i="5"/>
  <c r="P21" i="5"/>
  <c r="O21" i="5"/>
  <c r="N21" i="5"/>
  <c r="AD21" i="5"/>
  <c r="AC21" i="5"/>
  <c r="AB21" i="5"/>
  <c r="AA21" i="5"/>
  <c r="Z21" i="5"/>
  <c r="T44" i="4"/>
  <c r="M44" i="4"/>
  <c r="L44" i="4"/>
  <c r="E44" i="4"/>
  <c r="D44" i="4"/>
  <c r="U43" i="4"/>
  <c r="V56" i="4" s="1"/>
  <c r="N43" i="4"/>
  <c r="O56" i="4" s="1"/>
  <c r="F43" i="4"/>
  <c r="G56" i="4" s="1"/>
  <c r="U42" i="4"/>
  <c r="V55" i="4" s="1"/>
  <c r="N42" i="4"/>
  <c r="O55" i="4" s="1"/>
  <c r="F42" i="4"/>
  <c r="G55" i="4" s="1"/>
  <c r="U41" i="4"/>
  <c r="V54" i="4" s="1"/>
  <c r="N41" i="4"/>
  <c r="O54" i="4" s="1"/>
  <c r="U40" i="4"/>
  <c r="V53" i="4" s="1"/>
  <c r="N40" i="4"/>
  <c r="O53" i="4" s="1"/>
  <c r="F40" i="4"/>
  <c r="G53" i="4" s="1"/>
  <c r="U39" i="4"/>
  <c r="V52" i="4" s="1"/>
  <c r="N39" i="4"/>
  <c r="O52" i="4" s="1"/>
  <c r="F39" i="4"/>
  <c r="G52" i="4" s="1"/>
  <c r="U38" i="4"/>
  <c r="V51" i="4" s="1"/>
  <c r="N38" i="4"/>
  <c r="O51" i="4" s="1"/>
  <c r="F38" i="4"/>
  <c r="G51" i="4" s="1"/>
  <c r="U37" i="4"/>
  <c r="V50" i="4" s="1"/>
  <c r="N37" i="4"/>
  <c r="O50" i="4" s="1"/>
  <c r="F37" i="4"/>
  <c r="G50" i="4" s="1"/>
  <c r="U36" i="4"/>
  <c r="V49" i="4" s="1"/>
  <c r="N36" i="4"/>
  <c r="O49" i="4" s="1"/>
  <c r="F36" i="4"/>
  <c r="G49" i="4" s="1"/>
  <c r="U35" i="4"/>
  <c r="V48" i="4" s="1"/>
  <c r="N35" i="4"/>
  <c r="O48" i="4" s="1"/>
  <c r="F35" i="4"/>
  <c r="G48" i="4" s="1"/>
  <c r="U34" i="4"/>
  <c r="V47" i="4" s="1"/>
  <c r="N34" i="4"/>
  <c r="O47" i="4" s="1"/>
  <c r="F34" i="4"/>
  <c r="G47" i="4" s="1"/>
  <c r="U33" i="4"/>
  <c r="V46" i="4" s="1"/>
  <c r="N33" i="4"/>
  <c r="O46" i="4" s="1"/>
  <c r="F33" i="4"/>
  <c r="G46" i="4" s="1"/>
  <c r="U32" i="4"/>
  <c r="V45" i="4" s="1"/>
  <c r="N32" i="4"/>
  <c r="F32" i="4"/>
  <c r="H155" i="1"/>
  <c r="H154" i="1"/>
  <c r="H153" i="1"/>
  <c r="H152" i="1"/>
  <c r="H151" i="1"/>
  <c r="H150" i="1"/>
  <c r="H149" i="1"/>
  <c r="J161" i="1"/>
  <c r="G161" i="1"/>
  <c r="F161" i="1"/>
  <c r="E161" i="1"/>
  <c r="D161" i="1"/>
  <c r="H160" i="1"/>
  <c r="H159" i="1"/>
  <c r="H158" i="1"/>
  <c r="H157" i="1"/>
  <c r="H156" i="1"/>
  <c r="W32" i="4"/>
  <c r="X45" i="4" s="1"/>
  <c r="F24" i="4"/>
  <c r="N24" i="4"/>
  <c r="U24" i="4"/>
  <c r="F23" i="4"/>
  <c r="N23" i="4"/>
  <c r="U23" i="4"/>
  <c r="F22" i="4"/>
  <c r="N22" i="4"/>
  <c r="U22" i="4"/>
  <c r="F21" i="4"/>
  <c r="N21" i="4"/>
  <c r="U21" i="4"/>
  <c r="F20" i="4"/>
  <c r="N20" i="4"/>
  <c r="U20" i="4"/>
  <c r="F19" i="4"/>
  <c r="N19" i="4"/>
  <c r="U19" i="4"/>
  <c r="F27" i="4"/>
  <c r="N27" i="4"/>
  <c r="U27" i="4"/>
  <c r="F26" i="4"/>
  <c r="N26" i="4"/>
  <c r="U26" i="4"/>
  <c r="F25" i="4"/>
  <c r="N25" i="4"/>
  <c r="U25" i="4"/>
  <c r="F30" i="4"/>
  <c r="N30" i="4"/>
  <c r="U30" i="4"/>
  <c r="H147" i="1"/>
  <c r="H134" i="1"/>
  <c r="H146" i="1"/>
  <c r="F28" i="4"/>
  <c r="F29" i="4"/>
  <c r="N28" i="4"/>
  <c r="N29" i="4"/>
  <c r="U28" i="4"/>
  <c r="U29" i="4"/>
  <c r="H145" i="1"/>
  <c r="U6" i="4"/>
  <c r="W6" i="4" s="1"/>
  <c r="U7" i="4"/>
  <c r="U8" i="4"/>
  <c r="U9" i="4"/>
  <c r="U10" i="4"/>
  <c r="U11" i="4"/>
  <c r="U12" i="4"/>
  <c r="U13" i="4"/>
  <c r="U14" i="4"/>
  <c r="U15" i="4"/>
  <c r="U16" i="4"/>
  <c r="U17" i="4"/>
  <c r="H19" i="4"/>
  <c r="F6" i="4"/>
  <c r="F7" i="4"/>
  <c r="F8" i="4"/>
  <c r="F9" i="4"/>
  <c r="F10" i="4"/>
  <c r="F11" i="4"/>
  <c r="F12" i="4"/>
  <c r="F13" i="4"/>
  <c r="F14" i="4"/>
  <c r="F15" i="4"/>
  <c r="F16" i="4"/>
  <c r="F17" i="4"/>
  <c r="N6" i="4"/>
  <c r="P6" i="4" s="1"/>
  <c r="N7" i="4"/>
  <c r="O20" i="4" s="1"/>
  <c r="N8" i="4"/>
  <c r="N9" i="4"/>
  <c r="N10" i="4"/>
  <c r="N11" i="4"/>
  <c r="N12" i="4"/>
  <c r="N13" i="4"/>
  <c r="N14" i="4"/>
  <c r="N15" i="4"/>
  <c r="N16" i="4"/>
  <c r="N17" i="4"/>
  <c r="H144" i="1"/>
  <c r="H143" i="1"/>
  <c r="H142" i="1"/>
  <c r="H141" i="1"/>
  <c r="H140" i="1"/>
  <c r="H139" i="1"/>
  <c r="H138" i="1"/>
  <c r="H137" i="1"/>
  <c r="H136" i="1"/>
  <c r="H133" i="1"/>
  <c r="H132" i="1"/>
  <c r="H131" i="1"/>
  <c r="H130" i="1"/>
  <c r="H129" i="1"/>
  <c r="H128" i="1"/>
  <c r="H127" i="1"/>
  <c r="H126" i="1"/>
  <c r="H125" i="1"/>
  <c r="H124" i="1"/>
  <c r="J135" i="1"/>
  <c r="D18" i="4"/>
  <c r="D135" i="1"/>
  <c r="L31" i="4"/>
  <c r="M31" i="4"/>
  <c r="F135" i="1"/>
  <c r="M18" i="4"/>
  <c r="E135" i="1"/>
  <c r="L18" i="4"/>
  <c r="E31" i="4"/>
  <c r="D31" i="4"/>
  <c r="T18" i="4"/>
  <c r="T31" i="4"/>
  <c r="E18" i="4"/>
  <c r="K18" i="4"/>
  <c r="AF16" i="4"/>
  <c r="Z16" i="4"/>
  <c r="S16" i="4"/>
  <c r="K16" i="4"/>
  <c r="AF15" i="4"/>
  <c r="Z15" i="4"/>
  <c r="S15" i="4"/>
  <c r="K15" i="4"/>
  <c r="AF14" i="4"/>
  <c r="Z14" i="4"/>
  <c r="S14" i="4"/>
  <c r="K14" i="4"/>
  <c r="AF13" i="4"/>
  <c r="Z13" i="4"/>
  <c r="S13" i="4"/>
  <c r="K13" i="4"/>
  <c r="AF12" i="4"/>
  <c r="Z12" i="4"/>
  <c r="S12" i="4"/>
  <c r="K12" i="4"/>
  <c r="AF11" i="4"/>
  <c r="Z11" i="4"/>
  <c r="S11" i="4"/>
  <c r="K11" i="4"/>
  <c r="AF10" i="4"/>
  <c r="Z10" i="4"/>
  <c r="S10" i="4"/>
  <c r="K10" i="4"/>
  <c r="AF9" i="4"/>
  <c r="Z9" i="4"/>
  <c r="S9" i="4"/>
  <c r="K9" i="4"/>
  <c r="AF8" i="4"/>
  <c r="Z8" i="4"/>
  <c r="S8" i="4"/>
  <c r="K8" i="4"/>
  <c r="AF7" i="4"/>
  <c r="Z7" i="4"/>
  <c r="S7" i="4"/>
  <c r="K7" i="4"/>
  <c r="AF6" i="4"/>
  <c r="Z6" i="4"/>
  <c r="S6" i="4"/>
  <c r="K6" i="4"/>
  <c r="G135" i="1"/>
  <c r="K70" i="1"/>
  <c r="J70" i="1"/>
  <c r="H70" i="1"/>
  <c r="G70" i="1"/>
  <c r="F70" i="1"/>
  <c r="E70" i="1"/>
  <c r="D70" i="1"/>
  <c r="K161" i="1" l="1"/>
  <c r="K135" i="1"/>
  <c r="AC48" i="4"/>
  <c r="AD61" i="4" s="1"/>
  <c r="AA11" i="4"/>
  <c r="Q61" i="4"/>
  <c r="P49" i="4"/>
  <c r="V29" i="4"/>
  <c r="O19" i="4"/>
  <c r="AC68" i="4"/>
  <c r="H65" i="4"/>
  <c r="W66" i="4"/>
  <c r="P68" i="4"/>
  <c r="J52" i="4"/>
  <c r="K65" i="4" s="1"/>
  <c r="J55" i="4"/>
  <c r="K68" i="4" s="1"/>
  <c r="J53" i="4"/>
  <c r="K66" i="4" s="1"/>
  <c r="J51" i="4"/>
  <c r="K64" i="4" s="1"/>
  <c r="J54" i="4"/>
  <c r="K67" i="4" s="1"/>
  <c r="R53" i="4"/>
  <c r="S66" i="4" s="1"/>
  <c r="R51" i="4"/>
  <c r="S64" i="4" s="1"/>
  <c r="R55" i="4"/>
  <c r="S68" i="4" s="1"/>
  <c r="R52" i="4"/>
  <c r="S65" i="4" s="1"/>
  <c r="R54" i="4"/>
  <c r="S67" i="4" s="1"/>
  <c r="V26" i="4"/>
  <c r="Y53" i="4"/>
  <c r="Z66" i="4" s="1"/>
  <c r="Y52" i="4"/>
  <c r="Z65" i="4" s="1"/>
  <c r="Y54" i="4"/>
  <c r="Z67" i="4" s="1"/>
  <c r="Y51" i="4"/>
  <c r="Z64" i="4" s="1"/>
  <c r="Y55" i="4"/>
  <c r="Z68" i="4" s="1"/>
  <c r="AN12" i="5"/>
  <c r="G30" i="4"/>
  <c r="Y43" i="4"/>
  <c r="Z56" i="4" s="1"/>
  <c r="G23" i="4"/>
  <c r="G38" i="4"/>
  <c r="AL5" i="5"/>
  <c r="AN8" i="5"/>
  <c r="H32" i="4"/>
  <c r="I45" i="4" s="1"/>
  <c r="G45" i="4"/>
  <c r="J48" i="4"/>
  <c r="K61" i="4" s="1"/>
  <c r="J47" i="4"/>
  <c r="K60" i="4" s="1"/>
  <c r="J50" i="4"/>
  <c r="K63" i="4" s="1"/>
  <c r="J46" i="4"/>
  <c r="K59" i="4" s="1"/>
  <c r="J45" i="4"/>
  <c r="K58" i="4" s="1"/>
  <c r="J49" i="4"/>
  <c r="K62" i="4" s="1"/>
  <c r="AA10" i="4"/>
  <c r="P32" i="4"/>
  <c r="Q45" i="4" s="1"/>
  <c r="O45" i="4"/>
  <c r="R46" i="4"/>
  <c r="S59" i="4" s="1"/>
  <c r="R48" i="4"/>
  <c r="S61" i="4" s="1"/>
  <c r="R49" i="4"/>
  <c r="S62" i="4" s="1"/>
  <c r="R50" i="4"/>
  <c r="S63" i="4" s="1"/>
  <c r="R45" i="4"/>
  <c r="S58" i="4" s="1"/>
  <c r="R47" i="4"/>
  <c r="S60" i="4" s="1"/>
  <c r="AN16" i="5"/>
  <c r="AN6" i="5"/>
  <c r="V38" i="4"/>
  <c r="Y46" i="4"/>
  <c r="Z59" i="4" s="1"/>
  <c r="Y49" i="4"/>
  <c r="Z62" i="4" s="1"/>
  <c r="Y48" i="4"/>
  <c r="Z61" i="4" s="1"/>
  <c r="Y47" i="4"/>
  <c r="Z60" i="4" s="1"/>
  <c r="Y45" i="4"/>
  <c r="Z58" i="4" s="1"/>
  <c r="Y50" i="4"/>
  <c r="Z63" i="4" s="1"/>
  <c r="AM17" i="5"/>
  <c r="AN13" i="5"/>
  <c r="AC49" i="4"/>
  <c r="AD62" i="4" s="1"/>
  <c r="W49" i="4"/>
  <c r="X62" i="4" s="1"/>
  <c r="H50" i="4"/>
  <c r="I63" i="4" s="1"/>
  <c r="O41" i="4"/>
  <c r="Y42" i="4"/>
  <c r="V20" i="4"/>
  <c r="R41" i="4"/>
  <c r="AA42" i="4"/>
  <c r="AB55" i="4" s="1"/>
  <c r="R43" i="4"/>
  <c r="S56" i="4" s="1"/>
  <c r="AL17" i="5"/>
  <c r="Y38" i="4"/>
  <c r="J43" i="4"/>
  <c r="K56" i="4" s="1"/>
  <c r="AA43" i="4"/>
  <c r="AB56" i="4" s="1"/>
  <c r="V42" i="4"/>
  <c r="V35" i="4"/>
  <c r="W33" i="4"/>
  <c r="V43" i="4"/>
  <c r="AL13" i="5"/>
  <c r="J42" i="4"/>
  <c r="R42" i="4"/>
  <c r="J25" i="4"/>
  <c r="O30" i="4"/>
  <c r="V34" i="4"/>
  <c r="AA41" i="4"/>
  <c r="AB54" i="4" s="1"/>
  <c r="AL10" i="5"/>
  <c r="V22" i="4"/>
  <c r="AA40" i="4"/>
  <c r="AB53" i="4" s="1"/>
  <c r="AL9" i="5"/>
  <c r="AN5" i="5"/>
  <c r="AN10" i="5"/>
  <c r="AM13" i="5"/>
  <c r="O32" i="4"/>
  <c r="AA20" i="4"/>
  <c r="Y40" i="4"/>
  <c r="AA37" i="4"/>
  <c r="AB50" i="4" s="1"/>
  <c r="V33" i="4"/>
  <c r="G35" i="4"/>
  <c r="J40" i="4"/>
  <c r="G40" i="4"/>
  <c r="R22" i="4"/>
  <c r="J19" i="4"/>
  <c r="G33" i="4"/>
  <c r="R38" i="4"/>
  <c r="AM6" i="6"/>
  <c r="AL14" i="5"/>
  <c r="AL6" i="5"/>
  <c r="AM9" i="5"/>
  <c r="AN14" i="5"/>
  <c r="AN9" i="5"/>
  <c r="AN4" i="5"/>
  <c r="O23" i="4"/>
  <c r="G24" i="4"/>
  <c r="G39" i="4"/>
  <c r="AA39" i="4"/>
  <c r="AB52" i="4" s="1"/>
  <c r="AM17" i="6"/>
  <c r="AA8" i="4"/>
  <c r="AA13" i="4"/>
  <c r="G27" i="4"/>
  <c r="J38" i="4"/>
  <c r="AA38" i="4"/>
  <c r="AB51" i="4" s="1"/>
  <c r="R39" i="4"/>
  <c r="AM11" i="6"/>
  <c r="O38" i="4"/>
  <c r="P7" i="4"/>
  <c r="P8" i="4" s="1"/>
  <c r="P9" i="4" s="1"/>
  <c r="R21" i="4"/>
  <c r="AA14" i="4"/>
  <c r="N18" i="4"/>
  <c r="O39" i="4"/>
  <c r="AA36" i="4"/>
  <c r="AB49" i="4" s="1"/>
  <c r="AM15" i="6"/>
  <c r="AM10" i="6"/>
  <c r="AM5" i="6"/>
  <c r="AN10" i="6"/>
  <c r="AA9" i="4"/>
  <c r="V24" i="4"/>
  <c r="V40" i="4"/>
  <c r="G37" i="4"/>
  <c r="AA35" i="4"/>
  <c r="AB48" i="4" s="1"/>
  <c r="AM14" i="6"/>
  <c r="AM9" i="6"/>
  <c r="AN6" i="6"/>
  <c r="H20" i="4"/>
  <c r="H21" i="4" s="1"/>
  <c r="H22" i="4" s="1"/>
  <c r="H23" i="4" s="1"/>
  <c r="H24" i="4" s="1"/>
  <c r="H25" i="4" s="1"/>
  <c r="V23" i="4"/>
  <c r="G42" i="4"/>
  <c r="AM3" i="6"/>
  <c r="AM13" i="6"/>
  <c r="AM7" i="6"/>
  <c r="AA15" i="4"/>
  <c r="G28" i="4"/>
  <c r="G21" i="4"/>
  <c r="J21" i="4"/>
  <c r="AA24" i="4"/>
  <c r="AB24" i="4" s="1"/>
  <c r="O24" i="4"/>
  <c r="O29" i="4"/>
  <c r="R20" i="4"/>
  <c r="AA16" i="4"/>
  <c r="AA17" i="4"/>
  <c r="Y34" i="4"/>
  <c r="V30" i="4"/>
  <c r="Y32" i="4"/>
  <c r="AA26" i="4"/>
  <c r="G26" i="4"/>
  <c r="J27" i="4"/>
  <c r="J30" i="4"/>
  <c r="J32" i="4"/>
  <c r="H161" i="1"/>
  <c r="Y36" i="4"/>
  <c r="R36" i="4"/>
  <c r="AL17" i="6"/>
  <c r="AL13" i="6"/>
  <c r="AL9" i="6"/>
  <c r="AL5" i="6"/>
  <c r="AL3" i="6"/>
  <c r="AN16" i="6"/>
  <c r="AN12" i="6"/>
  <c r="AN8" i="6"/>
  <c r="AN4" i="6"/>
  <c r="AL15" i="5"/>
  <c r="AL11" i="5"/>
  <c r="AL7" i="5"/>
  <c r="AL3" i="5"/>
  <c r="AM15" i="5"/>
  <c r="AM11" i="5"/>
  <c r="AM7" i="5"/>
  <c r="AM3" i="5"/>
  <c r="AN15" i="5"/>
  <c r="AN11" i="5"/>
  <c r="AN7" i="5"/>
  <c r="P19" i="4"/>
  <c r="AA7" i="4"/>
  <c r="W7" i="4"/>
  <c r="W8" i="4" s="1"/>
  <c r="W9" i="4" s="1"/>
  <c r="W10" i="4" s="1"/>
  <c r="W11" i="4" s="1"/>
  <c r="W12" i="4" s="1"/>
  <c r="W13" i="4" s="1"/>
  <c r="W14" i="4" s="1"/>
  <c r="W15" i="4" s="1"/>
  <c r="W16" i="4" s="1"/>
  <c r="W17" i="4" s="1"/>
  <c r="F31" i="4"/>
  <c r="J24" i="4"/>
  <c r="O42" i="4"/>
  <c r="AL16" i="6"/>
  <c r="AL12" i="6"/>
  <c r="AL8" i="6"/>
  <c r="AL4" i="6"/>
  <c r="AN15" i="6"/>
  <c r="AN11" i="6"/>
  <c r="AN7" i="6"/>
  <c r="AM14" i="5"/>
  <c r="AM10" i="5"/>
  <c r="AM6" i="5"/>
  <c r="V25" i="4"/>
  <c r="AA30" i="4"/>
  <c r="AB30" i="4" s="1"/>
  <c r="AA32" i="4"/>
  <c r="J37" i="4"/>
  <c r="J39" i="4"/>
  <c r="AL15" i="6"/>
  <c r="AL11" i="6"/>
  <c r="AL7" i="6"/>
  <c r="O26" i="4"/>
  <c r="O33" i="4"/>
  <c r="AL14" i="6"/>
  <c r="AL10" i="6"/>
  <c r="AM16" i="6"/>
  <c r="AM12" i="6"/>
  <c r="AM8" i="6"/>
  <c r="AN17" i="6"/>
  <c r="AN13" i="6"/>
  <c r="AN9" i="6"/>
  <c r="AL16" i="5"/>
  <c r="AL12" i="5"/>
  <c r="AL8" i="5"/>
  <c r="AM16" i="5"/>
  <c r="AM12" i="5"/>
  <c r="AM8" i="5"/>
  <c r="R37" i="4"/>
  <c r="O37" i="4"/>
  <c r="V36" i="4"/>
  <c r="O36" i="4"/>
  <c r="R28" i="4"/>
  <c r="R29" i="4"/>
  <c r="R32" i="4"/>
  <c r="R30" i="4"/>
  <c r="R34" i="4"/>
  <c r="R25" i="4"/>
  <c r="O25" i="4"/>
  <c r="R26" i="4"/>
  <c r="AA19" i="4"/>
  <c r="Y20" i="4"/>
  <c r="V19" i="4"/>
  <c r="Y23" i="4"/>
  <c r="V32" i="4"/>
  <c r="Y22" i="4"/>
  <c r="U31" i="4"/>
  <c r="Y19" i="4"/>
  <c r="AA25" i="4"/>
  <c r="Y27" i="4"/>
  <c r="Y30" i="4"/>
  <c r="Z43" i="4" s="1"/>
  <c r="V27" i="4"/>
  <c r="R24" i="4"/>
  <c r="R23" i="4"/>
  <c r="Y35" i="4"/>
  <c r="Y28" i="4"/>
  <c r="Y26" i="4"/>
  <c r="H6" i="4"/>
  <c r="AA6" i="4"/>
  <c r="F18" i="4"/>
  <c r="G19" i="4"/>
  <c r="U18" i="4"/>
  <c r="J36" i="4"/>
  <c r="G36" i="4"/>
  <c r="R40" i="4"/>
  <c r="V41" i="4"/>
  <c r="U44" i="4"/>
  <c r="W19" i="4"/>
  <c r="AA28" i="4"/>
  <c r="O28" i="4"/>
  <c r="Y21" i="4"/>
  <c r="Y17" i="4"/>
  <c r="O40" i="4"/>
  <c r="Y41" i="4"/>
  <c r="J17" i="4"/>
  <c r="J23" i="4"/>
  <c r="AA12" i="4"/>
  <c r="G25" i="4"/>
  <c r="Y29" i="4"/>
  <c r="Z42" i="4" s="1"/>
  <c r="J28" i="4"/>
  <c r="AA27" i="4"/>
  <c r="O22" i="4"/>
  <c r="AA23" i="4"/>
  <c r="J34" i="4"/>
  <c r="AA34" i="4"/>
  <c r="AB47" i="4" s="1"/>
  <c r="G34" i="4"/>
  <c r="J35" i="4"/>
  <c r="G43" i="4"/>
  <c r="R17" i="4"/>
  <c r="R19" i="4"/>
  <c r="O34" i="4"/>
  <c r="N31" i="4"/>
  <c r="O21" i="4"/>
  <c r="J22" i="4"/>
  <c r="Y24" i="4"/>
  <c r="Y25" i="4"/>
  <c r="AA33" i="4"/>
  <c r="AB46" i="4" s="1"/>
  <c r="J33" i="4"/>
  <c r="F44" i="4"/>
  <c r="O35" i="4"/>
  <c r="R35" i="4"/>
  <c r="V37" i="4"/>
  <c r="Y37" i="4"/>
  <c r="Y39" i="4"/>
  <c r="V39" i="4"/>
  <c r="J41" i="4"/>
  <c r="G41" i="4"/>
  <c r="Y33" i="4"/>
  <c r="V28" i="4"/>
  <c r="J29" i="4"/>
  <c r="G29" i="4"/>
  <c r="J26" i="4"/>
  <c r="G20" i="4"/>
  <c r="J20" i="4"/>
  <c r="R27" i="4"/>
  <c r="G22" i="4"/>
  <c r="V21" i="4"/>
  <c r="O27" i="4"/>
  <c r="AA29" i="4"/>
  <c r="R33" i="4"/>
  <c r="AA21" i="4"/>
  <c r="AA22" i="4"/>
  <c r="O43" i="4"/>
  <c r="N44" i="4"/>
  <c r="G32" i="4"/>
  <c r="H135" i="1"/>
  <c r="P50" i="4" l="1"/>
  <c r="Q62" i="4"/>
  <c r="K38" i="4"/>
  <c r="Z54" i="4"/>
  <c r="S55" i="4"/>
  <c r="K51" i="4"/>
  <c r="K37" i="4"/>
  <c r="K32" i="4"/>
  <c r="S51" i="4"/>
  <c r="K53" i="4"/>
  <c r="P69" i="4"/>
  <c r="H66" i="4"/>
  <c r="W67" i="4"/>
  <c r="AC69" i="4"/>
  <c r="Z52" i="4"/>
  <c r="Z55" i="4"/>
  <c r="Z53" i="4"/>
  <c r="S54" i="4"/>
  <c r="S53" i="4"/>
  <c r="K55" i="4"/>
  <c r="AE54" i="4"/>
  <c r="AF67" i="4" s="1"/>
  <c r="AE55" i="4"/>
  <c r="AF68" i="4" s="1"/>
  <c r="AE53" i="4"/>
  <c r="AF66" i="4" s="1"/>
  <c r="AE51" i="4"/>
  <c r="AF64" i="4" s="1"/>
  <c r="AE52" i="4"/>
  <c r="AF65" i="4" s="1"/>
  <c r="Z51" i="4"/>
  <c r="S52" i="4"/>
  <c r="K54" i="4"/>
  <c r="K52" i="4"/>
  <c r="K49" i="4"/>
  <c r="S41" i="4"/>
  <c r="Z47" i="4"/>
  <c r="S46" i="4"/>
  <c r="K46" i="4"/>
  <c r="Z48" i="4"/>
  <c r="S50" i="4"/>
  <c r="K47" i="4"/>
  <c r="AE45" i="4"/>
  <c r="AF58" i="4" s="1"/>
  <c r="AE49" i="4"/>
  <c r="AF62" i="4" s="1"/>
  <c r="AE47" i="4"/>
  <c r="AF60" i="4" s="1"/>
  <c r="AE46" i="4"/>
  <c r="AF59" i="4" s="1"/>
  <c r="AE50" i="4"/>
  <c r="AF63" i="4" s="1"/>
  <c r="AE48" i="4"/>
  <c r="AF61" i="4" s="1"/>
  <c r="S45" i="4"/>
  <c r="AC32" i="4"/>
  <c r="AD45" i="4" s="1"/>
  <c r="AB45" i="4"/>
  <c r="W34" i="4"/>
  <c r="X46" i="4"/>
  <c r="K43" i="4"/>
  <c r="K50" i="4"/>
  <c r="H33" i="4"/>
  <c r="I46" i="4" s="1"/>
  <c r="Z32" i="4"/>
  <c r="AC50" i="4"/>
  <c r="Z50" i="4"/>
  <c r="Z49" i="4"/>
  <c r="S49" i="4"/>
  <c r="K30" i="4"/>
  <c r="I32" i="4"/>
  <c r="P33" i="4"/>
  <c r="Z45" i="4"/>
  <c r="Z46" i="4"/>
  <c r="S47" i="4"/>
  <c r="S48" i="4"/>
  <c r="K45" i="4"/>
  <c r="K48" i="4"/>
  <c r="H51" i="4"/>
  <c r="I64" i="4" s="1"/>
  <c r="W50" i="4"/>
  <c r="X63" i="4" s="1"/>
  <c r="AB32" i="4"/>
  <c r="Z34" i="4"/>
  <c r="AB20" i="4"/>
  <c r="K41" i="4"/>
  <c r="Z38" i="4"/>
  <c r="AB43" i="4"/>
  <c r="AE43" i="4"/>
  <c r="AF56" i="4" s="1"/>
  <c r="S43" i="4"/>
  <c r="AE42" i="4"/>
  <c r="AB42" i="4"/>
  <c r="S34" i="4"/>
  <c r="AB26" i="4"/>
  <c r="K42" i="4"/>
  <c r="Z41" i="4"/>
  <c r="S42" i="4"/>
  <c r="AB37" i="4"/>
  <c r="AB41" i="4"/>
  <c r="AE41" i="4"/>
  <c r="S40" i="4"/>
  <c r="S33" i="4"/>
  <c r="S35" i="4"/>
  <c r="K34" i="4"/>
  <c r="AE20" i="4"/>
  <c r="Z40" i="4"/>
  <c r="K40" i="4"/>
  <c r="Z39" i="4"/>
  <c r="AB40" i="4"/>
  <c r="AE40" i="4"/>
  <c r="S39" i="4"/>
  <c r="AE38" i="4"/>
  <c r="AB38" i="4"/>
  <c r="K39" i="4"/>
  <c r="AN18" i="5"/>
  <c r="AB39" i="4"/>
  <c r="AE39" i="4"/>
  <c r="S38" i="4"/>
  <c r="K36" i="4"/>
  <c r="AB36" i="4"/>
  <c r="AM18" i="6"/>
  <c r="AN18" i="6"/>
  <c r="AA31" i="4"/>
  <c r="Z37" i="4"/>
  <c r="AA18" i="4"/>
  <c r="S32" i="4"/>
  <c r="S36" i="4"/>
  <c r="AE36" i="4"/>
  <c r="AE37" i="4"/>
  <c r="S37" i="4"/>
  <c r="Q19" i="4"/>
  <c r="Q32" i="4"/>
  <c r="P20" i="4"/>
  <c r="AM18" i="5"/>
  <c r="AL18" i="5"/>
  <c r="AL18" i="6"/>
  <c r="Z36" i="4"/>
  <c r="AA44" i="4"/>
  <c r="P10" i="4"/>
  <c r="AB21" i="4"/>
  <c r="AE21" i="4"/>
  <c r="X32" i="4"/>
  <c r="W20" i="4"/>
  <c r="AC12" i="4"/>
  <c r="AC8" i="4"/>
  <c r="AC17" i="4"/>
  <c r="AC11" i="4"/>
  <c r="AC6" i="4"/>
  <c r="AC7" i="4"/>
  <c r="AC16" i="4"/>
  <c r="AC13" i="4"/>
  <c r="AC15" i="4"/>
  <c r="AC14" i="4"/>
  <c r="AC10" i="4"/>
  <c r="AC9" i="4"/>
  <c r="X19" i="4"/>
  <c r="AB25" i="4"/>
  <c r="AE25" i="4"/>
  <c r="AC19" i="4"/>
  <c r="AB19" i="4"/>
  <c r="AE19" i="4"/>
  <c r="K33" i="4"/>
  <c r="AB34" i="4"/>
  <c r="AE34" i="4"/>
  <c r="H7" i="4"/>
  <c r="I19" i="4"/>
  <c r="H26" i="4"/>
  <c r="AE22" i="4"/>
  <c r="AB22" i="4"/>
  <c r="AE28" i="4"/>
  <c r="AB28" i="4"/>
  <c r="AE24" i="4"/>
  <c r="AE26" i="4"/>
  <c r="S30" i="4"/>
  <c r="AB23" i="4"/>
  <c r="AE23" i="4"/>
  <c r="AB29" i="4"/>
  <c r="AE29" i="4"/>
  <c r="AE32" i="4"/>
  <c r="AE30" i="4"/>
  <c r="Z33" i="4"/>
  <c r="AE35" i="4"/>
  <c r="AB35" i="4"/>
  <c r="AB33" i="4"/>
  <c r="AE33" i="4"/>
  <c r="K35" i="4"/>
  <c r="AB27" i="4"/>
  <c r="AE27" i="4"/>
  <c r="AE17" i="4"/>
  <c r="Z35" i="4"/>
  <c r="Z30" i="4"/>
  <c r="P51" i="4" l="1"/>
  <c r="Q63" i="4"/>
  <c r="AC51" i="4"/>
  <c r="AD63" i="4"/>
  <c r="AF47" i="4"/>
  <c r="AC33" i="4"/>
  <c r="AD46" i="4" s="1"/>
  <c r="H187" i="1"/>
  <c r="H67" i="4"/>
  <c r="W68" i="4"/>
  <c r="AF54" i="4"/>
  <c r="AF51" i="4"/>
  <c r="AF55" i="4"/>
  <c r="AF52" i="4"/>
  <c r="AF53" i="4"/>
  <c r="H34" i="4"/>
  <c r="I47" i="4" s="1"/>
  <c r="I33" i="4"/>
  <c r="AF49" i="4"/>
  <c r="AC34" i="4"/>
  <c r="AD47" i="4" s="1"/>
  <c r="Q46" i="4"/>
  <c r="P34" i="4"/>
  <c r="AF50" i="4"/>
  <c r="AF45" i="4"/>
  <c r="I34" i="4"/>
  <c r="AF48" i="4"/>
  <c r="W35" i="4"/>
  <c r="X47" i="4"/>
  <c r="AF46" i="4"/>
  <c r="W51" i="4"/>
  <c r="X64" i="4" s="1"/>
  <c r="H52" i="4"/>
  <c r="I65" i="4" s="1"/>
  <c r="AF43" i="4"/>
  <c r="H35" i="4"/>
  <c r="I48" i="4" s="1"/>
  <c r="AF33" i="4"/>
  <c r="AF32" i="4"/>
  <c r="AF41" i="4"/>
  <c r="AF42" i="4"/>
  <c r="AF40" i="4"/>
  <c r="AF39" i="4"/>
  <c r="AF38" i="4"/>
  <c r="I35" i="4"/>
  <c r="P21" i="4"/>
  <c r="Q33" i="4"/>
  <c r="Q20" i="4"/>
  <c r="AF34" i="4"/>
  <c r="AF37" i="4"/>
  <c r="AF36" i="4"/>
  <c r="H27" i="4"/>
  <c r="AC20" i="4"/>
  <c r="AD32" i="4"/>
  <c r="AD19" i="4"/>
  <c r="P11" i="4"/>
  <c r="AF30" i="4"/>
  <c r="X20" i="4"/>
  <c r="W21" i="4"/>
  <c r="X33" i="4"/>
  <c r="AF35" i="4"/>
  <c r="H8" i="4"/>
  <c r="I20" i="4"/>
  <c r="AD33" i="4" l="1"/>
  <c r="Q64" i="4"/>
  <c r="P52" i="4"/>
  <c r="AD64" i="4"/>
  <c r="AC52" i="4"/>
  <c r="AC35" i="4"/>
  <c r="AC36" i="4" s="1"/>
  <c r="AD49" i="4" s="1"/>
  <c r="W69" i="4"/>
  <c r="H68" i="4"/>
  <c r="H36" i="4"/>
  <c r="I49" i="4" s="1"/>
  <c r="Q47" i="4"/>
  <c r="P35" i="4"/>
  <c r="W36" i="4"/>
  <c r="X48" i="4"/>
  <c r="AD48" i="4"/>
  <c r="H53" i="4"/>
  <c r="I66" i="4" s="1"/>
  <c r="W52" i="4"/>
  <c r="X65" i="4" s="1"/>
  <c r="P22" i="4"/>
  <c r="Q21" i="4"/>
  <c r="Q34" i="4"/>
  <c r="H37" i="4"/>
  <c r="I50" i="4" s="1"/>
  <c r="W22" i="4"/>
  <c r="X21" i="4"/>
  <c r="X34" i="4"/>
  <c r="P12" i="4"/>
  <c r="H28" i="4"/>
  <c r="H9" i="4"/>
  <c r="I21" i="4"/>
  <c r="AD20" i="4"/>
  <c r="AC21" i="4"/>
  <c r="Q65" i="4" l="1"/>
  <c r="P53" i="4"/>
  <c r="AD65" i="4"/>
  <c r="AC53" i="4"/>
  <c r="AC37" i="4"/>
  <c r="AD50" i="4" s="1"/>
  <c r="I36" i="4"/>
  <c r="H69" i="4"/>
  <c r="Q48" i="4"/>
  <c r="P36" i="4"/>
  <c r="AC38" i="4"/>
  <c r="AD51" i="4" s="1"/>
  <c r="X49" i="4"/>
  <c r="W37" i="4"/>
  <c r="W53" i="4"/>
  <c r="X66" i="4" s="1"/>
  <c r="H54" i="4"/>
  <c r="I67" i="4" s="1"/>
  <c r="I37" i="4"/>
  <c r="H38" i="4"/>
  <c r="I51" i="4" s="1"/>
  <c r="P23" i="4"/>
  <c r="Q22" i="4"/>
  <c r="Q35" i="4"/>
  <c r="W23" i="4"/>
  <c r="X36" i="4" s="1"/>
  <c r="X22" i="4"/>
  <c r="X35" i="4"/>
  <c r="H10" i="4"/>
  <c r="I22" i="4"/>
  <c r="P13" i="4"/>
  <c r="AC22" i="4"/>
  <c r="AD21" i="4"/>
  <c r="AD34" i="4"/>
  <c r="H29" i="4"/>
  <c r="Q66" i="4" l="1"/>
  <c r="P54" i="4"/>
  <c r="AD66" i="4"/>
  <c r="AC54" i="4"/>
  <c r="AC39" i="4"/>
  <c r="AC40" i="4" s="1"/>
  <c r="Q49" i="4"/>
  <c r="P37" i="4"/>
  <c r="W38" i="4"/>
  <c r="X50" i="4"/>
  <c r="H55" i="4"/>
  <c r="I68" i="4" s="1"/>
  <c r="W54" i="4"/>
  <c r="X67" i="4" s="1"/>
  <c r="I38" i="4"/>
  <c r="H39" i="4"/>
  <c r="I52" i="4" s="1"/>
  <c r="P24" i="4"/>
  <c r="Q23" i="4"/>
  <c r="Q36" i="4"/>
  <c r="H30" i="4"/>
  <c r="AC23" i="4"/>
  <c r="AD36" i="4" s="1"/>
  <c r="AD22" i="4"/>
  <c r="AD35" i="4"/>
  <c r="H11" i="4"/>
  <c r="I23" i="4"/>
  <c r="P14" i="4"/>
  <c r="W24" i="4"/>
  <c r="X37" i="4" s="1"/>
  <c r="X23" i="4"/>
  <c r="Q67" i="4" l="1"/>
  <c r="P55" i="4"/>
  <c r="AD67" i="4"/>
  <c r="AC55" i="4"/>
  <c r="AD52" i="4"/>
  <c r="W39" i="4"/>
  <c r="X51" i="4"/>
  <c r="AC41" i="4"/>
  <c r="AD53" i="4"/>
  <c r="P38" i="4"/>
  <c r="Q50" i="4"/>
  <c r="W55" i="4"/>
  <c r="X68" i="4" s="1"/>
  <c r="H56" i="4"/>
  <c r="I69" i="4" s="1"/>
  <c r="I39" i="4"/>
  <c r="H40" i="4"/>
  <c r="I53" i="4" s="1"/>
  <c r="P25" i="4"/>
  <c r="Q24" i="4"/>
  <c r="Q37" i="4"/>
  <c r="P15" i="4"/>
  <c r="W25" i="4"/>
  <c r="X38" i="4" s="1"/>
  <c r="X24" i="4"/>
  <c r="AC24" i="4"/>
  <c r="AD37" i="4" s="1"/>
  <c r="AD23" i="4"/>
  <c r="H12" i="4"/>
  <c r="I24" i="4"/>
  <c r="Q68" i="4" l="1"/>
  <c r="P56" i="4"/>
  <c r="Q69" i="4" s="1"/>
  <c r="AD68" i="4"/>
  <c r="AC56" i="4"/>
  <c r="AD69" i="4" s="1"/>
  <c r="Q38" i="4"/>
  <c r="AD54" i="4"/>
  <c r="AC42" i="4"/>
  <c r="P39" i="4"/>
  <c r="Q51" i="4"/>
  <c r="W40" i="4"/>
  <c r="X52" i="4"/>
  <c r="W56" i="4"/>
  <c r="X69" i="4" s="1"/>
  <c r="I40" i="4"/>
  <c r="H41" i="4"/>
  <c r="I54" i="4" s="1"/>
  <c r="P26" i="4"/>
  <c r="Q25" i="4"/>
  <c r="H13" i="4"/>
  <c r="I25" i="4"/>
  <c r="X25" i="4"/>
  <c r="W26" i="4"/>
  <c r="X39" i="4" s="1"/>
  <c r="AD24" i="4"/>
  <c r="AC25" i="4"/>
  <c r="AD38" i="4" s="1"/>
  <c r="P16" i="4"/>
  <c r="Q39" i="4" l="1"/>
  <c r="P40" i="4"/>
  <c r="Q52" i="4"/>
  <c r="AC43" i="4"/>
  <c r="AD56" i="4" s="1"/>
  <c r="AD55" i="4"/>
  <c r="W41" i="4"/>
  <c r="X53" i="4"/>
  <c r="I41" i="4"/>
  <c r="H42" i="4"/>
  <c r="I55" i="4" s="1"/>
  <c r="P27" i="4"/>
  <c r="Q26" i="4"/>
  <c r="X26" i="4"/>
  <c r="W27" i="4"/>
  <c r="X40" i="4" s="1"/>
  <c r="P17" i="4"/>
  <c r="AC26" i="4"/>
  <c r="AD39" i="4" s="1"/>
  <c r="AD25" i="4"/>
  <c r="H14" i="4"/>
  <c r="I26" i="4"/>
  <c r="Q40" i="4" l="1"/>
  <c r="W42" i="4"/>
  <c r="X54" i="4"/>
  <c r="P41" i="4"/>
  <c r="Q53" i="4"/>
  <c r="I42" i="4"/>
  <c r="H43" i="4"/>
  <c r="P28" i="4"/>
  <c r="Q41" i="4" s="1"/>
  <c r="Q27" i="4"/>
  <c r="H15" i="4"/>
  <c r="I27" i="4"/>
  <c r="W28" i="4"/>
  <c r="X41" i="4" s="1"/>
  <c r="X27" i="4"/>
  <c r="AD26" i="4"/>
  <c r="AC27" i="4"/>
  <c r="AD40" i="4" s="1"/>
  <c r="I43" i="4" l="1"/>
  <c r="I56" i="4"/>
  <c r="P42" i="4"/>
  <c r="Q54" i="4"/>
  <c r="W43" i="4"/>
  <c r="X56" i="4" s="1"/>
  <c r="X55" i="4"/>
  <c r="P29" i="4"/>
  <c r="Q28" i="4"/>
  <c r="H16" i="4"/>
  <c r="I28" i="4"/>
  <c r="X28" i="4"/>
  <c r="W29" i="4"/>
  <c r="X42" i="4" s="1"/>
  <c r="AD27" i="4"/>
  <c r="AC28" i="4"/>
  <c r="AD41" i="4" s="1"/>
  <c r="Q42" i="4" l="1"/>
  <c r="P43" i="4"/>
  <c r="Q56" i="4" s="1"/>
  <c r="Q55" i="4"/>
  <c r="P30" i="4"/>
  <c r="Q29" i="4"/>
  <c r="W30" i="4"/>
  <c r="X29" i="4"/>
  <c r="AD28" i="4"/>
  <c r="AC29" i="4"/>
  <c r="AD42" i="4" s="1"/>
  <c r="H17" i="4"/>
  <c r="I30" i="4" s="1"/>
  <c r="I29" i="4"/>
  <c r="X30" i="4" l="1"/>
  <c r="X43" i="4"/>
  <c r="Q30" i="4"/>
  <c r="Q43" i="4"/>
  <c r="AC30" i="4"/>
  <c r="AD29" i="4"/>
  <c r="AD30" i="4" l="1"/>
  <c r="AD43" i="4"/>
  <c r="F194" i="1" l="1"/>
  <c r="F200" i="1" s="1"/>
  <c r="D194" i="1"/>
  <c r="J194" i="1"/>
  <c r="D200" i="1" l="1"/>
  <c r="J200" i="1"/>
  <c r="E194" i="1" l="1"/>
  <c r="K194" i="1" s="1"/>
  <c r="E200" i="1" l="1"/>
  <c r="K200" i="1" s="1"/>
  <c r="H194" i="1"/>
  <c r="H200" i="1" l="1"/>
</calcChain>
</file>

<file path=xl/sharedStrings.xml><?xml version="1.0" encoding="utf-8"?>
<sst xmlns="http://schemas.openxmlformats.org/spreadsheetml/2006/main" count="1016" uniqueCount="163">
  <si>
    <t>AKTSIISIGA MAKSUSTATAV JA AKTSIISIVABASTUSEGA SISERIIKLIK TARBIMINE</t>
  </si>
  <si>
    <t>Allikas:</t>
  </si>
  <si>
    <t>Maksu- ja Tolliamet</t>
  </si>
  <si>
    <t>Ühik:</t>
  </si>
  <si>
    <t>1000 liitrit</t>
  </si>
  <si>
    <t>Aasta</t>
  </si>
  <si>
    <t>Kuu</t>
  </si>
  <si>
    <t>Auto-bensiin</t>
  </si>
  <si>
    <t>Bensiinid kokku</t>
  </si>
  <si>
    <t>Muutus võrreldes eelmise aasta sama kuuga</t>
  </si>
  <si>
    <t>Aasta kumulatiivne tarbimine</t>
  </si>
  <si>
    <t>Muutus võrreldes eelmise aasta sama perioodiga</t>
  </si>
  <si>
    <t>Viimase 12 kuu tarbimine</t>
  </si>
  <si>
    <t>Muutus võrreldes eelmise 12 kuuga</t>
  </si>
  <si>
    <t>Diislikütus</t>
  </si>
  <si>
    <t>Eri-otstarbeline diislikütus</t>
  </si>
  <si>
    <t>Kerge
kütteõli</t>
  </si>
  <si>
    <t>Diislikütused kokku</t>
  </si>
  <si>
    <t>Raske kütteõli</t>
  </si>
  <si>
    <t>KÜTUSED KOKKU</t>
  </si>
  <si>
    <t>jaanuar</t>
  </si>
  <si>
    <t>Sisaldub diislis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</si>
  <si>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</si>
  <si>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</si>
  <si>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</si>
  <si>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</si>
  <si>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</si>
  <si>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</si>
  <si>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</si>
  <si>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</si>
  <si>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</si>
  <si>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</si>
  <si>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</si>
  <si>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KOKKU</t>
  </si>
  <si>
    <t>Viimati uuendatud</t>
  </si>
  <si>
    <t xml:space="preserve">EESTI TANKLATE JAEMÜÜK MAKSU- JA TOLLIAMETI ANDMETEL </t>
  </si>
  <si>
    <t>liitrit</t>
  </si>
  <si>
    <t>Bensiin 95</t>
  </si>
  <si>
    <t>Bensiin 98</t>
  </si>
  <si>
    <r>
      <t xml:space="preserve">LPG </t>
    </r>
    <r>
      <rPr>
        <sz val="10"/>
        <color indexed="10"/>
        <rFont val="Arial"/>
        <family val="2"/>
      </rPr>
      <t>kilogrammi</t>
    </r>
  </si>
  <si>
    <t>LPG</t>
  </si>
  <si>
    <t>Kütused kokku</t>
  </si>
  <si>
    <t>maakond</t>
  </si>
  <si>
    <t>HARJU MAAKOND</t>
  </si>
  <si>
    <t>HIIU MAAKOND</t>
  </si>
  <si>
    <t>IDA-VIRU MAAKOND</t>
  </si>
  <si>
    <t>JARVA MAAKOND</t>
  </si>
  <si>
    <t>JOGEVA MAAKOND</t>
  </si>
  <si>
    <t>LAANE MAAKOND</t>
  </si>
  <si>
    <t>LAANE-VIRU MAAKOND</t>
  </si>
  <si>
    <t>PARNU MAAKOND</t>
  </si>
  <si>
    <t>POLVA MAAKOND</t>
  </si>
  <si>
    <t>RAPLA MAAKOND</t>
  </si>
  <si>
    <t>SAARE MAAKOND</t>
  </si>
  <si>
    <t>TARTU MAAKOND</t>
  </si>
  <si>
    <t>VALGA MAAKOND</t>
  </si>
  <si>
    <t>VILJANDI MAAKOND</t>
  </si>
  <si>
    <t>VORU MAAKOND</t>
  </si>
  <si>
    <t>Muutus võrreldes eelmise aasta sama kuuga 2017 vs 2016</t>
  </si>
  <si>
    <t>Muutus võrreldes eelmise aasta sama kuuga 2018 vs 2017</t>
  </si>
  <si>
    <t>Maakond</t>
  </si>
  <si>
    <t>Aruande-periood</t>
  </si>
  <si>
    <t>Bensiin oktaani-arvuga &lt; 98 (liitrites)</t>
  </si>
  <si>
    <t>Bensiin oktaani-arvuga ≥ 98 (liitrites)</t>
  </si>
  <si>
    <t>Diislikütus (liitrites)</t>
  </si>
  <si>
    <t>Eriots-tarbeline diislikütus (liitrites)</t>
  </si>
  <si>
    <t>Mootori-vedelgaas (LPG) (liitrites)</t>
  </si>
  <si>
    <t>Esitamata aruannete arv</t>
  </si>
  <si>
    <t>2019</t>
  </si>
  <si>
    <t>Jaemüük</t>
  </si>
  <si>
    <t>02</t>
  </si>
  <si>
    <t>1</t>
  </si>
  <si>
    <t>https://www.emta.ee/media/1728/download</t>
  </si>
  <si>
    <t>2</t>
  </si>
  <si>
    <t>03</t>
  </si>
  <si>
    <t>04</t>
  </si>
  <si>
    <t>2020 vs 2019</t>
  </si>
  <si>
    <t>Bensiin</t>
  </si>
  <si>
    <t>sh EDK</t>
  </si>
  <si>
    <t>05</t>
  </si>
  <si>
    <t>06</t>
  </si>
  <si>
    <t>07</t>
  </si>
  <si>
    <t>08</t>
  </si>
  <si>
    <t>09</t>
  </si>
  <si>
    <t>10</t>
  </si>
  <si>
    <t>11</t>
  </si>
  <si>
    <t>12</t>
  </si>
  <si>
    <t>2020</t>
  </si>
  <si>
    <t>01</t>
  </si>
  <si>
    <t>Kokku</t>
  </si>
  <si>
    <t>2021 vs 2020</t>
  </si>
  <si>
    <t>2021</t>
  </si>
  <si>
    <t>Müük tanklatest</t>
  </si>
  <si>
    <t>Hulgimüük lõpptarbijale</t>
  </si>
  <si>
    <t>Jae</t>
  </si>
  <si>
    <t>Hulgi</t>
  </si>
  <si>
    <t>Bensiini oktaaniarvuga &lt; 98 jaemüük (liitrites)</t>
  </si>
  <si>
    <t>Bensiini oktaaniarvuga ≥ 98 jaemüük (liitrites)</t>
  </si>
  <si>
    <t>Diislikütuse jaemüük (liitrites)</t>
  </si>
  <si>
    <t>Eriotstarbelise diislikütuse jaemüük (liitrites)</t>
  </si>
  <si>
    <t>Bensiini oktaaniarvuga &lt; 98 hulgimüük (liitrites)</t>
  </si>
  <si>
    <t>Bensiini oktaaniarvuga ≥ 98 hulgimüük (liitrites)</t>
  </si>
  <si>
    <t>Diislikütuse hulgimüük (liitrites)</t>
  </si>
  <si>
    <t>Eriotstarbelise diislikütuse hulgimüük (liitrites)</t>
  </si>
  <si>
    <t>Diisel</t>
  </si>
  <si>
    <t>Jae + hulgimüük</t>
  </si>
  <si>
    <t>Jaemüük kokku</t>
  </si>
  <si>
    <t>Hulgimüük kokku</t>
  </si>
  <si>
    <t>Eriolukord kehtis 13.03-17.05</t>
  </si>
  <si>
    <t>Diisli aktsiisi langetati 25% 01.05</t>
  </si>
  <si>
    <t>Teine laine</t>
  </si>
  <si>
    <t>Piirangute leevendamine</t>
  </si>
  <si>
    <t xml:space="preserve">Uued piirangud </t>
  </si>
  <si>
    <t>KE23: VEDELKÜTUSE JA MAAGAASIGA VARUSTATUS | Aasta, Näitaja, Kütuse liik ning Kuu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</si>
  <si>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</si>
  <si>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</si>
  <si>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</si>
  <si>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</si>
  <si>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</si>
  <si>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</si>
  <si>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</si>
  <si>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</si>
  <si>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</si>
  <si>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</si>
  <si>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</si>
  <si>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</si>
  <si>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12 kuud</t>
  </si>
  <si>
    <t>2017</t>
  </si>
  <si>
    <t>Sisetarbimine</t>
  </si>
  <si>
    <t>Autobensiin, tuhat t</t>
  </si>
  <si>
    <t>Diislikütus, tuhat t</t>
  </si>
  <si>
    <t>2018</t>
  </si>
  <si>
    <t>..</t>
  </si>
  <si>
    <t>Viimase aasta andmeid võidakse korrigeerida kuni lõpliku aastastatistika valmimiseni.
Vedelkütuse sisetarbimise ja varude andmed on saadud Maksu- ja Tolliametist.
Autobensiini ja diislikütuse sisetarbimise 2019. ja 2020. aasta andmed on korrigeeritud 02.08.2021.</t>
  </si>
  <si>
    <t>Viimane uuendus:</t>
  </si>
  <si>
    <t>20211001 08:00</t>
  </si>
  <si>
    <t>Statistikaamet</t>
  </si>
  <si>
    <t>Autoriõigus</t>
  </si>
  <si>
    <t>Ühikud:</t>
  </si>
  <si>
    <t>Väärtus</t>
  </si>
  <si>
    <t>Sisemine referentskood:</t>
  </si>
  <si>
    <t>KE23</t>
  </si>
  <si>
    <t>KE0230: ENERGIABILANSS | Aasta, Näitaja ning Kütuse/energia liik</t>
  </si>
  <si>
    <t>Mootoribensiin (autobensiin), v.a biokütuse osa, tuhat t</t>
  </si>
  <si>
    <t>Lennukipetrool (reaktiivkütus), v.a biokütuse osa, tuhat t</t>
  </si>
  <si>
    <t>Gaasiõli ja diisliõli, v.a biokütuse osa, tuhat t</t>
  </si>
  <si>
    <t>Raske kütteõli, tuhat t</t>
  </si>
  <si>
    <t>Puhas biobensiin, tuhat t</t>
  </si>
  <si>
    <t>Biobensiin segus, tuhat t</t>
  </si>
  <si>
    <t>Puhas biodiisel, tuhat t</t>
  </si>
  <si>
    <t>Biodiisel segus, tuhat t</t>
  </si>
  <si>
    <t>Sisemaine tarbimine</t>
  </si>
  <si>
    <t>Ümardamise tõttu võivad väärtuste koondandmed erineda liidetavate väärtuste summast.
2012. aastast alates on impordi ja ekspordi andmete hulka arvestatud re-eksport.
2010.-2019. aasta andmed on korrigeeritud 21.01.2021.
Energiabilansi koostamiseks on kasutatud Eurostati välja töötatud tööriista Energy balance builder tool (energiabilansi koostaja).
Rohkem infot https://ec.europa.eu/eurostat/web/energy/data/energy-balances.
Energiabilanss kajastab kõiki riigi statistiliselt olulisi energiatooteid (kütuseid) ning nende tootmist, muundamist ja tarbimist erinevat tüüpi ettevõtjate (sektorite) kaupa.</t>
  </si>
  <si>
    <t>KE0230</t>
  </si>
  <si>
    <t>2022</t>
  </si>
  <si>
    <t>2022 vs 2021</t>
  </si>
  <si>
    <t>24.02 algas Ukraina sõda</t>
  </si>
  <si>
    <t>2023</t>
  </si>
  <si>
    <t>2024</t>
  </si>
  <si>
    <t>2023 vs 2024</t>
  </si>
  <si>
    <t>2025</t>
  </si>
  <si>
    <t>Lennuki-
petrool
(JET)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</si>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</sst>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%"/>
    <numFmt numFmtId="166" formatCode="0.0"/>
  </numFmts>
  <fonts count="34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 tint="-4.9989318521683403E-2"/>
      <name val="Arial"/>
      <family val="2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0" tint="-0.1499984740745262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5"/>
      <color rgb="FF00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4600"/>
        <bgColor rgb="FF000000"/>
      </patternFill>
    </fill>
    <fill>
      <patternFill patternType="solid">
        <fgColor rgb="FFCC46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2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5" fillId="0" borderId="0" applyNumberFormat="0" applyBorder="0" applyAlignment="0"/>
    <xf numFmtId="9" fontId="25" fillId="0" borderId="0" applyFont="0" applyFill="0" applyBorder="0" applyAlignment="0" applyProtection="0"/>
    <xf numFmtId="0" fontId="22" fillId="0" borderId="0"/>
  </cellStyleXfs>
  <cellXfs count="178">
    <xf numFmtId="0" fontId="0" fillId="0" borderId="0" xfId="0"/>
    <xf numFmtId="0" fontId="3" fillId="0" borderId="0" xfId="0" applyFont="1"/>
    <xf numFmtId="4" fontId="3" fillId="0" borderId="1" xfId="0" applyNumberFormat="1" applyFont="1" applyBorder="1"/>
    <xf numFmtId="4" fontId="2" fillId="3" borderId="1" xfId="0" applyNumberFormat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49" fontId="2" fillId="5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" fontId="7" fillId="0" borderId="1" xfId="0" applyNumberFormat="1" applyFont="1" applyBorder="1"/>
    <xf numFmtId="10" fontId="3" fillId="6" borderId="1" xfId="0" applyNumberFormat="1" applyFont="1" applyFill="1" applyBorder="1"/>
    <xf numFmtId="49" fontId="3" fillId="7" borderId="1" xfId="0" applyNumberFormat="1" applyFont="1" applyFill="1" applyBorder="1" applyAlignment="1">
      <alignment horizontal="center" vertical="center" wrapText="1"/>
    </xf>
    <xf numFmtId="10" fontId="7" fillId="6" borderId="1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" fontId="2" fillId="5" borderId="1" xfId="0" applyNumberFormat="1" applyFont="1" applyFill="1" applyBorder="1"/>
    <xf numFmtId="4" fontId="2" fillId="9" borderId="1" xfId="0" applyNumberFormat="1" applyFont="1" applyFill="1" applyBorder="1"/>
    <xf numFmtId="49" fontId="9" fillId="10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9" fillId="11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6" fillId="0" borderId="1" xfId="1" applyNumberFormat="1" applyBorder="1"/>
    <xf numFmtId="49" fontId="3" fillId="5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2" fillId="2" borderId="1" xfId="0" applyNumberFormat="1" applyFont="1" applyFill="1" applyBorder="1"/>
    <xf numFmtId="3" fontId="7" fillId="6" borderId="1" xfId="0" applyNumberFormat="1" applyFont="1" applyFill="1" applyBorder="1"/>
    <xf numFmtId="3" fontId="3" fillId="6" borderId="1" xfId="0" applyNumberFormat="1" applyFont="1" applyFill="1" applyBorder="1"/>
    <xf numFmtId="3" fontId="2" fillId="4" borderId="1" xfId="0" applyNumberFormat="1" applyFont="1" applyFill="1" applyBorder="1"/>
    <xf numFmtId="3" fontId="8" fillId="4" borderId="1" xfId="0" applyNumberFormat="1" applyFont="1" applyFill="1" applyBorder="1"/>
    <xf numFmtId="3" fontId="3" fillId="0" borderId="1" xfId="0" applyNumberFormat="1" applyFont="1" applyBorder="1"/>
    <xf numFmtId="3" fontId="2" fillId="9" borderId="1" xfId="0" applyNumberFormat="1" applyFont="1" applyFill="1" applyBorder="1"/>
    <xf numFmtId="3" fontId="3" fillId="9" borderId="1" xfId="0" applyNumberFormat="1" applyFont="1" applyFill="1" applyBorder="1"/>
    <xf numFmtId="0" fontId="11" fillId="0" borderId="0" xfId="0" applyFont="1" applyAlignment="1">
      <alignment horizontal="center"/>
    </xf>
    <xf numFmtId="3" fontId="7" fillId="0" borderId="0" xfId="0" applyNumberFormat="1" applyFont="1"/>
    <xf numFmtId="0" fontId="6" fillId="0" borderId="0" xfId="1"/>
    <xf numFmtId="3" fontId="6" fillId="0" borderId="0" xfId="1" applyNumberFormat="1"/>
    <xf numFmtId="164" fontId="3" fillId="6" borderId="1" xfId="2" applyNumberFormat="1" applyFont="1" applyFill="1" applyBorder="1"/>
    <xf numFmtId="10" fontId="3" fillId="6" borderId="1" xfId="2" applyNumberFormat="1" applyFont="1" applyFill="1" applyBorder="1"/>
    <xf numFmtId="0" fontId="13" fillId="0" borderId="0" xfId="0" applyFont="1"/>
    <xf numFmtId="0" fontId="16" fillId="0" borderId="0" xfId="0" applyFont="1"/>
    <xf numFmtId="3" fontId="15" fillId="0" borderId="1" xfId="0" applyNumberFormat="1" applyFont="1" applyBorder="1"/>
    <xf numFmtId="0" fontId="13" fillId="0" borderId="0" xfId="0" applyFont="1" applyAlignment="1">
      <alignment horizontal="center"/>
    </xf>
    <xf numFmtId="3" fontId="15" fillId="0" borderId="0" xfId="0" applyNumberFormat="1" applyFont="1" applyAlignment="1">
      <alignment horizontal="left"/>
    </xf>
    <xf numFmtId="3" fontId="16" fillId="0" borderId="0" xfId="0" applyNumberFormat="1" applyFont="1"/>
    <xf numFmtId="164" fontId="14" fillId="0" borderId="0" xfId="2" applyNumberFormat="1" applyFont="1"/>
    <xf numFmtId="164" fontId="17" fillId="0" borderId="0" xfId="0" applyNumberFormat="1" applyFont="1"/>
    <xf numFmtId="3" fontId="17" fillId="0" borderId="0" xfId="0" applyNumberFormat="1" applyFont="1"/>
    <xf numFmtId="3" fontId="15" fillId="0" borderId="1" xfId="0" applyNumberFormat="1" applyFont="1" applyBorder="1" applyAlignment="1">
      <alignment horizontal="left"/>
    </xf>
    <xf numFmtId="3" fontId="16" fillId="0" borderId="1" xfId="0" applyNumberFormat="1" applyFont="1" applyBorder="1"/>
    <xf numFmtId="0" fontId="16" fillId="0" borderId="1" xfId="0" applyFont="1" applyBorder="1"/>
    <xf numFmtId="0" fontId="18" fillId="0" borderId="0" xfId="0" applyFont="1"/>
    <xf numFmtId="49" fontId="18" fillId="0" borderId="0" xfId="0" applyNumberFormat="1" applyFont="1"/>
    <xf numFmtId="3" fontId="18" fillId="0" borderId="0" xfId="0" applyNumberFormat="1" applyFont="1"/>
    <xf numFmtId="0" fontId="16" fillId="0" borderId="0" xfId="0" quotePrefix="1" applyFont="1"/>
    <xf numFmtId="0" fontId="15" fillId="0" borderId="0" xfId="0" applyFont="1"/>
    <xf numFmtId="3" fontId="13" fillId="0" borderId="1" xfId="0" applyNumberFormat="1" applyFont="1" applyBorder="1" applyAlignment="1">
      <alignment horizontal="left"/>
    </xf>
    <xf numFmtId="3" fontId="0" fillId="0" borderId="0" xfId="0" applyNumberFormat="1"/>
    <xf numFmtId="0" fontId="10" fillId="0" borderId="0" xfId="0" applyFont="1"/>
    <xf numFmtId="0" fontId="21" fillId="0" borderId="0" xfId="4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9" fontId="0" fillId="0" borderId="0" xfId="2" applyFont="1"/>
    <xf numFmtId="49" fontId="0" fillId="0" borderId="5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14" fontId="3" fillId="0" borderId="0" xfId="0" applyNumberFormat="1" applyFont="1" applyAlignment="1">
      <alignment horizontal="center"/>
    </xf>
    <xf numFmtId="0" fontId="22" fillId="0" borderId="0" xfId="7"/>
    <xf numFmtId="0" fontId="12" fillId="0" borderId="1" xfId="7" applyFont="1" applyBorder="1" applyAlignment="1">
      <alignment horizontal="center"/>
    </xf>
    <xf numFmtId="3" fontId="22" fillId="0" borderId="0" xfId="7" applyNumberFormat="1"/>
    <xf numFmtId="0" fontId="22" fillId="0" borderId="0" xfId="7" applyAlignment="1">
      <alignment horizontal="center" vertical="center"/>
    </xf>
    <xf numFmtId="9" fontId="0" fillId="0" borderId="0" xfId="8" applyFont="1"/>
    <xf numFmtId="9" fontId="0" fillId="0" borderId="3" xfId="8" applyFont="1" applyBorder="1"/>
    <xf numFmtId="0" fontId="22" fillId="0" borderId="0" xfId="7" applyAlignment="1">
      <alignment horizontal="right"/>
    </xf>
    <xf numFmtId="0" fontId="12" fillId="0" borderId="1" xfId="7" applyFont="1" applyBorder="1" applyAlignment="1">
      <alignment horizontal="center" vertical="center" wrapText="1"/>
    </xf>
    <xf numFmtId="0" fontId="22" fillId="0" borderId="0" xfId="7" applyAlignment="1">
      <alignment horizontal="center" vertical="center" wrapText="1"/>
    </xf>
    <xf numFmtId="0" fontId="0" fillId="0" borderId="0" xfId="0" applyAlignment="1">
      <alignment horizontal="center"/>
    </xf>
    <xf numFmtId="2" fontId="2" fillId="12" borderId="1" xfId="0" applyNumberFormat="1" applyFont="1" applyFill="1" applyBorder="1"/>
    <xf numFmtId="49" fontId="0" fillId="0" borderId="5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24" fillId="0" borderId="0" xfId="0" applyFont="1"/>
    <xf numFmtId="49" fontId="24" fillId="0" borderId="6" xfId="0" applyNumberFormat="1" applyFont="1" applyBorder="1" applyAlignment="1">
      <alignment horizontal="center"/>
    </xf>
    <xf numFmtId="9" fontId="24" fillId="0" borderId="0" xfId="2" applyFont="1"/>
    <xf numFmtId="0" fontId="24" fillId="0" borderId="0" xfId="0" applyFont="1" applyAlignment="1">
      <alignment horizontal="center" wrapText="1"/>
    </xf>
    <xf numFmtId="0" fontId="26" fillId="0" borderId="0" xfId="9" applyFont="1"/>
    <xf numFmtId="0" fontId="25" fillId="0" borderId="0" xfId="9"/>
    <xf numFmtId="0" fontId="27" fillId="0" borderId="0" xfId="9" applyFont="1"/>
    <xf numFmtId="1" fontId="25" fillId="0" borderId="0" xfId="9" applyNumberFormat="1"/>
    <xf numFmtId="0" fontId="25" fillId="0" borderId="0" xfId="9" applyAlignment="1">
      <alignment wrapText="1"/>
    </xf>
    <xf numFmtId="0" fontId="29" fillId="0" borderId="0" xfId="7" applyFont="1"/>
    <xf numFmtId="3" fontId="29" fillId="0" borderId="0" xfId="7" applyNumberFormat="1" applyFont="1"/>
    <xf numFmtId="164" fontId="29" fillId="0" borderId="0" xfId="2" applyNumberFormat="1" applyFont="1"/>
    <xf numFmtId="165" fontId="0" fillId="0" borderId="0" xfId="2" applyNumberFormat="1" applyFont="1"/>
    <xf numFmtId="164" fontId="0" fillId="0" borderId="0" xfId="2" applyNumberFormat="1" applyFont="1"/>
    <xf numFmtId="0" fontId="30" fillId="0" borderId="0" xfId="7" applyFont="1"/>
    <xf numFmtId="164" fontId="30" fillId="0" borderId="0" xfId="2" applyNumberFormat="1" applyFont="1"/>
    <xf numFmtId="3" fontId="22" fillId="13" borderId="1" xfId="7" applyNumberFormat="1" applyFill="1" applyBorder="1"/>
    <xf numFmtId="0" fontId="22" fillId="13" borderId="0" xfId="7" applyFill="1"/>
    <xf numFmtId="3" fontId="22" fillId="13" borderId="0" xfId="7" applyNumberFormat="1" applyFill="1"/>
    <xf numFmtId="3" fontId="22" fillId="14" borderId="1" xfId="7" applyNumberFormat="1" applyFill="1" applyBorder="1"/>
    <xf numFmtId="3" fontId="0" fillId="14" borderId="1" xfId="0" applyNumberFormat="1" applyFill="1" applyBorder="1"/>
    <xf numFmtId="0" fontId="22" fillId="14" borderId="0" xfId="7" applyFill="1"/>
    <xf numFmtId="3" fontId="22" fillId="14" borderId="0" xfId="7" applyNumberFormat="1" applyFill="1"/>
    <xf numFmtId="0" fontId="12" fillId="6" borderId="1" xfId="7" applyFont="1" applyFill="1" applyBorder="1" applyAlignment="1">
      <alignment horizontal="right"/>
    </xf>
    <xf numFmtId="0" fontId="12" fillId="6" borderId="1" xfId="7" applyFont="1" applyFill="1" applyBorder="1" applyAlignment="1">
      <alignment wrapText="1"/>
    </xf>
    <xf numFmtId="0" fontId="22" fillId="6" borderId="0" xfId="7" applyFill="1"/>
    <xf numFmtId="3" fontId="22" fillId="6" borderId="1" xfId="7" applyNumberFormat="1" applyFill="1" applyBorder="1"/>
    <xf numFmtId="3" fontId="6" fillId="6" borderId="1" xfId="0" applyNumberFormat="1" applyFont="1" applyFill="1" applyBorder="1"/>
    <xf numFmtId="3" fontId="0" fillId="6" borderId="1" xfId="0" applyNumberFormat="1" applyFill="1" applyBorder="1"/>
    <xf numFmtId="3" fontId="22" fillId="6" borderId="0" xfId="7" applyNumberFormat="1" applyFill="1"/>
    <xf numFmtId="0" fontId="26" fillId="0" borderId="0" xfId="0" applyFont="1"/>
    <xf numFmtId="0" fontId="27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" fontId="24" fillId="0" borderId="0" xfId="0" applyNumberFormat="1" applyFont="1"/>
    <xf numFmtId="1" fontId="31" fillId="0" borderId="0" xfId="0" applyNumberFormat="1" applyFont="1"/>
    <xf numFmtId="0" fontId="27" fillId="0" borderId="0" xfId="0" applyFont="1" applyAlignment="1">
      <alignment horizontal="center"/>
    </xf>
    <xf numFmtId="9" fontId="24" fillId="0" borderId="0" xfId="8" applyFont="1"/>
    <xf numFmtId="3" fontId="7" fillId="13" borderId="1" xfId="0" applyNumberFormat="1" applyFont="1" applyFill="1" applyBorder="1"/>
    <xf numFmtId="0" fontId="22" fillId="0" borderId="0" xfId="7" applyAlignment="1">
      <alignment horizontal="center"/>
    </xf>
    <xf numFmtId="164" fontId="22" fillId="0" borderId="0" xfId="2" applyNumberFormat="1" applyFont="1" applyBorder="1"/>
    <xf numFmtId="0" fontId="28" fillId="0" borderId="0" xfId="0" applyFont="1"/>
    <xf numFmtId="3" fontId="30" fillId="0" borderId="0" xfId="2" applyNumberFormat="1" applyFont="1"/>
    <xf numFmtId="166" fontId="22" fillId="0" borderId="0" xfId="7" applyNumberFormat="1"/>
    <xf numFmtId="0" fontId="32" fillId="8" borderId="1" xfId="0" applyFont="1" applyFill="1" applyBorder="1" applyAlignment="1">
      <alignment horizontal="center"/>
    </xf>
    <xf numFmtId="4" fontId="33" fillId="0" borderId="1" xfId="0" applyNumberFormat="1" applyFont="1" applyBorder="1"/>
    <xf numFmtId="4" fontId="32" fillId="4" borderId="1" xfId="0" applyNumberFormat="1" applyFont="1" applyFill="1" applyBorder="1"/>
    <xf numFmtId="2" fontId="32" fillId="12" borderId="1" xfId="0" applyNumberFormat="1" applyFont="1" applyFill="1" applyBorder="1"/>
    <xf numFmtId="4" fontId="32" fillId="3" borderId="1" xfId="0" applyNumberFormat="1" applyFont="1" applyFill="1" applyBorder="1"/>
    <xf numFmtId="0" fontId="32" fillId="9" borderId="1" xfId="0" applyFont="1" applyFill="1" applyBorder="1" applyAlignment="1">
      <alignment horizontal="center"/>
    </xf>
    <xf numFmtId="4" fontId="32" fillId="9" borderId="1" xfId="0" applyNumberFormat="1" applyFont="1" applyFill="1" applyBorder="1"/>
    <xf numFmtId="3" fontId="22" fillId="0" borderId="0" xfId="2" applyNumberFormat="1" applyFont="1"/>
    <xf numFmtId="3" fontId="22" fillId="0" borderId="1" xfId="7" applyNumberFormat="1" applyBorder="1"/>
    <xf numFmtId="3" fontId="0" fillId="0" borderId="10" xfId="0" applyNumberFormat="1" applyBorder="1"/>
    <xf numFmtId="0" fontId="0" fillId="0" borderId="10" xfId="0" applyBorder="1"/>
    <xf numFmtId="14" fontId="2" fillId="0" borderId="0" xfId="0" applyNumberFormat="1" applyFont="1" applyAlignment="1">
      <alignment horizontal="center"/>
    </xf>
    <xf numFmtId="0" fontId="22" fillId="0" borderId="11" xfId="7" applyBorder="1"/>
    <xf numFmtId="3" fontId="22" fillId="0" borderId="11" xfId="7" applyNumberFormat="1" applyBorder="1"/>
    <xf numFmtId="0" fontId="22" fillId="0" borderId="12" xfId="7" applyBorder="1"/>
    <xf numFmtId="3" fontId="22" fillId="0" borderId="12" xfId="7" applyNumberFormat="1" applyBorder="1"/>
    <xf numFmtId="3" fontId="22" fillId="0" borderId="1" xfId="11" applyNumberFormat="1" applyBorder="1"/>
    <xf numFmtId="49" fontId="22" fillId="0" borderId="1" xfId="11" applyNumberFormat="1" applyBorder="1" applyAlignment="1">
      <alignment horizontal="center"/>
    </xf>
    <xf numFmtId="3" fontId="3" fillId="0" borderId="0" xfId="0" applyNumberFormat="1" applyFont="1"/>
    <xf numFmtId="3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22" fillId="0" borderId="5" xfId="11" applyNumberFormat="1" applyBorder="1" applyAlignment="1">
      <alignment horizontal="center" vertical="top"/>
    </xf>
    <xf numFmtId="49" fontId="22" fillId="0" borderId="7" xfId="11" applyNumberFormat="1" applyBorder="1" applyAlignment="1">
      <alignment horizontal="center" vertical="top"/>
    </xf>
    <xf numFmtId="49" fontId="0" fillId="0" borderId="5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8" xfId="0" applyNumberFormat="1" applyBorder="1" applyAlignment="1">
      <alignment horizontal="center" vertical="top"/>
    </xf>
    <xf numFmtId="49" fontId="0" fillId="0" borderId="9" xfId="0" applyNumberFormat="1" applyBorder="1" applyAlignment="1">
      <alignment horizontal="center" vertical="top"/>
    </xf>
    <xf numFmtId="49" fontId="0" fillId="0" borderId="4" xfId="0" applyNumberFormat="1" applyBorder="1" applyAlignment="1">
      <alignment horizontal="center" vertical="top"/>
    </xf>
    <xf numFmtId="0" fontId="12" fillId="0" borderId="0" xfId="0" applyFont="1" applyAlignment="1">
      <alignment horizontal="center" wrapText="1"/>
    </xf>
    <xf numFmtId="0" fontId="24" fillId="0" borderId="3" xfId="0" applyFont="1" applyBorder="1" applyAlignment="1">
      <alignment horizontal="center"/>
    </xf>
    <xf numFmtId="0" fontId="12" fillId="0" borderId="1" xfId="0" applyFont="1" applyBorder="1" applyAlignment="1">
      <alignment vertical="top"/>
    </xf>
    <xf numFmtId="9" fontId="0" fillId="0" borderId="0" xfId="8" applyFont="1" applyAlignment="1">
      <alignment horizontal="center"/>
    </xf>
    <xf numFmtId="0" fontId="22" fillId="0" borderId="0" xfId="7" applyAlignment="1">
      <alignment horizontal="center"/>
    </xf>
    <xf numFmtId="0" fontId="22" fillId="0" borderId="0" xfId="7" applyAlignment="1">
      <alignment horizontal="center" vertical="center" wrapText="1"/>
    </xf>
    <xf numFmtId="0" fontId="22" fillId="0" borderId="0" xfId="7" applyAlignment="1">
      <alignment horizontal="center" vertical="center"/>
    </xf>
    <xf numFmtId="0" fontId="12" fillId="14" borderId="1" xfId="7" applyFont="1" applyFill="1" applyBorder="1" applyAlignment="1">
      <alignment horizontal="center" vertical="top"/>
    </xf>
    <xf numFmtId="0" fontId="12" fillId="13" borderId="1" xfId="7" applyFont="1" applyFill="1" applyBorder="1" applyAlignment="1">
      <alignment horizontal="center" vertical="top"/>
    </xf>
    <xf numFmtId="0" fontId="12" fillId="6" borderId="5" xfId="7" applyFont="1" applyFill="1" applyBorder="1" applyAlignment="1">
      <alignment horizontal="center" vertical="top"/>
    </xf>
    <xf numFmtId="0" fontId="12" fillId="6" borderId="6" xfId="7" applyFont="1" applyFill="1" applyBorder="1" applyAlignment="1">
      <alignment horizontal="center" vertical="top"/>
    </xf>
    <xf numFmtId="0" fontId="12" fillId="6" borderId="7" xfId="7" applyFont="1" applyFill="1" applyBorder="1" applyAlignment="1">
      <alignment horizontal="center" vertical="top"/>
    </xf>
    <xf numFmtId="0" fontId="23" fillId="0" borderId="1" xfId="7" applyFont="1" applyBorder="1" applyAlignment="1">
      <alignment horizontal="center"/>
    </xf>
  </cellXfs>
  <cellStyles count="12">
    <cellStyle name="Hüperlink" xfId="4" builtinId="8"/>
    <cellStyle name="Normaallaad" xfId="0" builtinId="0"/>
    <cellStyle name="Normaallaad 2" xfId="3" xr:uid="{CB93D320-DE04-4B50-8F1E-E3E1747DF662}"/>
    <cellStyle name="Normaallaad 3" xfId="11" xr:uid="{0F401F1F-E186-4A7C-B550-9942D0A4A16C}"/>
    <cellStyle name="Normal 2" xfId="1" xr:uid="{00000000-0005-0000-0000-000002000000}"/>
    <cellStyle name="Normal 3" xfId="5" xr:uid="{4379B768-CA04-6740-A9A6-7C6B5B024B20}"/>
    <cellStyle name="Normal 4" xfId="7" xr:uid="{374C4364-BD0D-0C47-91BE-D39E2B799B72}"/>
    <cellStyle name="Normal 5" xfId="9" xr:uid="{7F44ED29-88B1-A549-80FB-44CE68DB69E5}"/>
    <cellStyle name="Per cent 2" xfId="6" xr:uid="{F2BDE142-538C-F24A-A573-0172841BEF63}"/>
    <cellStyle name="Per cent 3" xfId="8" xr:uid="{D3C15E58-3BD8-E048-A978-93F8B2C7B757}"/>
    <cellStyle name="Per cent 4" xfId="10" xr:uid="{6BCD65CF-3AFA-DA42-87BA-981936A5C702}"/>
    <cellStyle name="Prot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egovg01.sharepoint.com/sites/SISE_EVK/DOKUMENDID/UUS/0%20&#220;ldine/02%20Aruandlus/K&#252;tuse%20sisearuanne/Sisemaine%20tarbimine.xlsx" TargetMode="External"/><Relationship Id="rId1" Type="http://schemas.openxmlformats.org/officeDocument/2006/relationships/externalLinkPath" Target="https://eegovg01-my.sharepoint.com/personal/martin_jasko_varudekeskus_ee/Documents/T&#246;&#246;laud/Sisemaine%20tarbim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anuar10"/>
      <sheetName val="Veebruar10"/>
      <sheetName val="Märts10"/>
      <sheetName val="Aprill10"/>
      <sheetName val="Mai10"/>
      <sheetName val="Juuni10"/>
      <sheetName val="Juuli10"/>
      <sheetName val="August10"/>
      <sheetName val="September10"/>
      <sheetName val="Oktoober10"/>
      <sheetName val="November10"/>
      <sheetName val="Detsember10"/>
      <sheetName val="Jaanuar11"/>
      <sheetName val="veebruar11"/>
      <sheetName val="märts11"/>
      <sheetName val="aprill11"/>
      <sheetName val="mai11"/>
      <sheetName val="juuni11"/>
      <sheetName val="juuli11"/>
      <sheetName val="august11"/>
      <sheetName val="september11"/>
      <sheetName val="Oktoober11"/>
      <sheetName val="November11"/>
      <sheetName val="Detsember11"/>
      <sheetName val="Jaanuar12"/>
      <sheetName val="Veebruar12"/>
      <sheetName val="Märts12"/>
      <sheetName val="Aprill12"/>
      <sheetName val="Mai12"/>
      <sheetName val="Juuni12"/>
      <sheetName val="Juuli12"/>
      <sheetName val="August12"/>
      <sheetName val="September12"/>
      <sheetName val="Oktoober12"/>
      <sheetName val="November12"/>
      <sheetName val="Detsember12"/>
      <sheetName val="Jaanuar13"/>
      <sheetName val="Veebruar13"/>
      <sheetName val="Märts13"/>
      <sheetName val="Aprill13"/>
      <sheetName val="Mai13"/>
      <sheetName val="Juuni13"/>
      <sheetName val="Juuli13"/>
      <sheetName val="August13"/>
      <sheetName val="September13"/>
      <sheetName val="Oktoober13"/>
      <sheetName val="November13"/>
      <sheetName val="Detsember13"/>
      <sheetName val="Jaanuar14"/>
      <sheetName val="Veebruar14"/>
      <sheetName val="Märts14"/>
      <sheetName val="Aprill14"/>
      <sheetName val="Mai14"/>
      <sheetName val="Juuni14"/>
      <sheetName val="Juuli14"/>
      <sheetName val="August14"/>
      <sheetName val="September14"/>
      <sheetName val="Oktoober14"/>
      <sheetName val="November14"/>
      <sheetName val="Detsember14"/>
      <sheetName val="Jaanuar15"/>
      <sheetName val="Veebruar15"/>
      <sheetName val="Märts15"/>
      <sheetName val="Aprill15"/>
      <sheetName val="Mai15"/>
      <sheetName val="Juuni15"/>
      <sheetName val="Juuli15"/>
      <sheetName val="August15"/>
      <sheetName val="September15"/>
      <sheetName val="Oktoober15"/>
      <sheetName val="November15"/>
      <sheetName val="Detsember15"/>
      <sheetName val="Jaanuar16"/>
      <sheetName val="Veebruar16"/>
      <sheetName val="Märts16"/>
      <sheetName val="Aprill16"/>
      <sheetName val="Mai16"/>
      <sheetName val="Juuni16"/>
      <sheetName val="Juuli16"/>
      <sheetName val="August16"/>
      <sheetName val="Sept16"/>
      <sheetName val="Okt16"/>
      <sheetName val="Nov16"/>
      <sheetName val="Dets16"/>
      <sheetName val="Jaanuar17"/>
      <sheetName val="Veebruar17"/>
      <sheetName val="Märts17"/>
      <sheetName val="Aprill17"/>
      <sheetName val="Mai17"/>
      <sheetName val="Juuni17"/>
      <sheetName val="Juuli17"/>
      <sheetName val="Aug17"/>
      <sheetName val="Sept17"/>
      <sheetName val="Okt17"/>
      <sheetName val="Nov17"/>
      <sheetName val="Dets17"/>
      <sheetName val="Jan18"/>
      <sheetName val="Veb18"/>
      <sheetName val="Mär18"/>
      <sheetName val="Apr18"/>
      <sheetName val="Mai18"/>
      <sheetName val="Jun18"/>
      <sheetName val="Jul18"/>
      <sheetName val="Aug18"/>
      <sheetName val="Sept18"/>
      <sheetName val="Okt18"/>
      <sheetName val="Nov18"/>
      <sheetName val="Dets18"/>
      <sheetName val="Jan19"/>
      <sheetName val="Veb 19"/>
      <sheetName val="Mär19"/>
      <sheetName val="Apr19"/>
      <sheetName val="Mai19"/>
      <sheetName val="Jun19"/>
      <sheetName val="Jul19"/>
      <sheetName val="Aug19"/>
      <sheetName val="Sept19"/>
      <sheetName val="Okt19"/>
      <sheetName val="Nov19"/>
      <sheetName val="Dets 19"/>
      <sheetName val="Jan20"/>
      <sheetName val="Veb20"/>
      <sheetName val="Mär20"/>
      <sheetName val="Apr20"/>
      <sheetName val="Mai20"/>
      <sheetName val="Jun20"/>
      <sheetName val="Jul20"/>
      <sheetName val="Aug20"/>
      <sheetName val="Sept20"/>
      <sheetName val="Okt20"/>
      <sheetName val="Nov20"/>
      <sheetName val="Dets20"/>
      <sheetName val="Jaan21"/>
      <sheetName val="Veeb21"/>
      <sheetName val="Märts21"/>
      <sheetName val="Aprill21"/>
      <sheetName val="Mai21"/>
      <sheetName val="Juuni21"/>
      <sheetName val="Juuli21"/>
      <sheetName val="August21"/>
      <sheetName val="Sept21"/>
      <sheetName val="Okt21"/>
      <sheetName val="Nov21"/>
      <sheetName val="Dec21"/>
      <sheetName val="Jan22"/>
      <sheetName val="Veebr22"/>
      <sheetName val="Märts22 "/>
      <sheetName val="Aprill22"/>
      <sheetName val="Mai22"/>
      <sheetName val="Juuni22"/>
      <sheetName val="Juuli22"/>
      <sheetName val=" August 22"/>
      <sheetName val="september22"/>
      <sheetName val="oktoober 22"/>
      <sheetName val="november 22"/>
      <sheetName val="detsember 22"/>
      <sheetName val="jaanuar 23"/>
      <sheetName val="veebruar 23"/>
      <sheetName val="märts 2023"/>
      <sheetName val="aprill 2023"/>
      <sheetName val="mai 2023"/>
      <sheetName val="Juuni 2023"/>
      <sheetName val="Juuli 2023"/>
      <sheetName val="August 2023 "/>
      <sheetName val="September 2023"/>
      <sheetName val="Oktoober 2023"/>
      <sheetName val="November 2023"/>
      <sheetName val="Detsember 2023"/>
      <sheetName val="Jaanuar 2024"/>
      <sheetName val="Veebruar 2024"/>
      <sheetName val="Märts 2024"/>
      <sheetName val="Aprill 2024"/>
      <sheetName val="Mai 2024"/>
      <sheetName val="Juuni 2024 "/>
      <sheetName val="Juuli 2024 "/>
      <sheetName val="August 2024"/>
      <sheetName val="September 2024"/>
      <sheetName val="Chart1"/>
      <sheetName val="Chart2"/>
      <sheetName val="Kokkuv"/>
      <sheetName val="Sisemaine tarbimine 07,08,09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>
        <row r="126">
          <cell r="M126">
            <v>29592.148000000005</v>
          </cell>
        </row>
        <row r="128">
          <cell r="M128">
            <v>75284.788281437126</v>
          </cell>
        </row>
        <row r="129">
          <cell r="M129">
            <v>13069.021718562875</v>
          </cell>
        </row>
        <row r="133">
          <cell r="M133">
            <v>51.132999999999996</v>
          </cell>
        </row>
      </sheetData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mta.ee/media/1728/downloa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271"/>
  <sheetViews>
    <sheetView tabSelected="1" zoomScale="84" zoomScaleNormal="70" workbookViewId="0">
      <pane xSplit="3" ySplit="5" topLeftCell="D237" activePane="bottomRight" state="frozen"/>
      <selection pane="topRight" activeCell="D1" sqref="D1"/>
      <selection pane="bottomLeft" activeCell="A5" sqref="A5"/>
      <selection pane="bottomRight" activeCell="F276" sqref="F276"/>
    </sheetView>
  </sheetViews>
  <sheetFormatPr defaultColWidth="14.453125" defaultRowHeight="13" x14ac:dyDescent="0.3"/>
  <cols>
    <col min="1" max="1" width="5.453125" style="1" customWidth="1"/>
    <col min="2" max="2" width="29.81640625" style="5" customWidth="1"/>
    <col min="3" max="3" width="14.453125" style="6"/>
    <col min="4" max="4" width="13.54296875" style="1" customWidth="1"/>
    <col min="5" max="5" width="13.1796875" style="1" customWidth="1"/>
    <col min="6" max="6" width="13.54296875" style="1" bestFit="1" customWidth="1"/>
    <col min="7" max="7" width="9.1796875" style="1" bestFit="1" customWidth="1"/>
    <col min="8" max="8" width="11.1796875" style="1" bestFit="1" customWidth="1"/>
    <col min="9" max="9" width="11.1796875" style="1" customWidth="1"/>
    <col min="10" max="10" width="13" style="1" customWidth="1"/>
    <col min="11" max="11" width="15" style="1" customWidth="1"/>
    <col min="12" max="16384" width="14.453125" style="1"/>
  </cols>
  <sheetData>
    <row r="2" spans="2:11" x14ac:dyDescent="0.3">
      <c r="B2" s="4" t="s">
        <v>0</v>
      </c>
      <c r="D2" s="4"/>
    </row>
    <row r="3" spans="2:11" x14ac:dyDescent="0.3">
      <c r="B3" s="23" t="s">
        <v>1</v>
      </c>
      <c r="C3" s="24" t="s">
        <v>2</v>
      </c>
      <c r="D3" s="4"/>
    </row>
    <row r="4" spans="2:11" ht="12.5" x14ac:dyDescent="0.25">
      <c r="B4" s="23" t="s">
        <v>3</v>
      </c>
      <c r="C4" s="5" t="s">
        <v>4</v>
      </c>
    </row>
    <row r="5" spans="2:11" s="21" customFormat="1" ht="39" x14ac:dyDescent="0.35">
      <c r="B5" s="22" t="s">
        <v>5</v>
      </c>
      <c r="C5" s="18" t="s">
        <v>6</v>
      </c>
      <c r="D5" s="8" t="s">
        <v>7</v>
      </c>
      <c r="E5" s="8" t="s">
        <v>14</v>
      </c>
      <c r="F5" s="8" t="s">
        <v>15</v>
      </c>
      <c r="G5" s="8" t="s">
        <v>16</v>
      </c>
      <c r="H5" s="18" t="s">
        <v>17</v>
      </c>
      <c r="I5" s="18" t="s">
        <v>161</v>
      </c>
      <c r="J5" s="18" t="s">
        <v>18</v>
      </c>
      <c r="K5" s="18" t="s">
        <v>19</v>
      </c>
    </row>
    <row r="6" spans="2:11" s="9" customFormat="1" ht="14.5" x14ac:dyDescent="0.35">
      <c r="B6" s="20">
        <v>2007</v>
      </c>
      <c r="C6" s="14" t="s">
        <v>20</v>
      </c>
      <c r="D6" s="2">
        <v>34311.072</v>
      </c>
      <c r="E6" s="2">
        <v>47549.707245508987</v>
      </c>
      <c r="F6" s="2" t="s">
        <v>21</v>
      </c>
      <c r="G6" s="2">
        <v>12171.402161676646</v>
      </c>
      <c r="H6" s="3">
        <v>59721.109407185635</v>
      </c>
      <c r="I6" s="3"/>
      <c r="J6" s="7">
        <v>1855.144</v>
      </c>
      <c r="K6" s="3">
        <v>99675.500803158793</v>
      </c>
    </row>
    <row r="7" spans="2:11" s="9" customFormat="1" ht="14.5" x14ac:dyDescent="0.35">
      <c r="B7" s="20">
        <v>2007</v>
      </c>
      <c r="C7" s="14" t="s">
        <v>22</v>
      </c>
      <c r="D7" s="2">
        <v>33557.276000000005</v>
      </c>
      <c r="E7" s="2">
        <v>47379.774766467061</v>
      </c>
      <c r="F7" s="2" t="s">
        <v>21</v>
      </c>
      <c r="G7" s="2">
        <v>13119.583461077844</v>
      </c>
      <c r="H7" s="3">
        <v>60499.358227544901</v>
      </c>
      <c r="I7" s="3"/>
      <c r="J7" s="7">
        <v>503.18700000000001</v>
      </c>
      <c r="K7" s="3">
        <v>98438.796333249615</v>
      </c>
    </row>
    <row r="8" spans="2:11" s="9" customFormat="1" ht="14.5" x14ac:dyDescent="0.35">
      <c r="B8" s="20">
        <v>2007</v>
      </c>
      <c r="C8" s="14" t="s">
        <v>23</v>
      </c>
      <c r="D8" s="2">
        <v>36396.318000000007</v>
      </c>
      <c r="E8" s="2">
        <v>55186.557898203595</v>
      </c>
      <c r="F8" s="2" t="s">
        <v>21</v>
      </c>
      <c r="G8" s="2">
        <v>7721.8819401197597</v>
      </c>
      <c r="H8" s="3">
        <v>62908.439838323357</v>
      </c>
      <c r="I8" s="3"/>
      <c r="J8" s="7">
        <v>291.07299999999998</v>
      </c>
      <c r="K8" s="3">
        <v>104037.09624268579</v>
      </c>
    </row>
    <row r="9" spans="2:11" s="9" customFormat="1" ht="14.5" x14ac:dyDescent="0.35">
      <c r="B9" s="20">
        <v>2007</v>
      </c>
      <c r="C9" s="14" t="s">
        <v>24</v>
      </c>
      <c r="D9" s="2">
        <v>37520.773999999998</v>
      </c>
      <c r="E9" s="2">
        <v>55147.499443113767</v>
      </c>
      <c r="F9" s="2" t="s">
        <v>21</v>
      </c>
      <c r="G9" s="2">
        <v>5730.0021137724552</v>
      </c>
      <c r="H9" s="3">
        <v>60877.539556886222</v>
      </c>
      <c r="I9" s="3"/>
      <c r="J9" s="7">
        <v>646.09100000000001</v>
      </c>
      <c r="K9" s="3">
        <v>103401.48072131576</v>
      </c>
    </row>
    <row r="10" spans="2:11" s="9" customFormat="1" ht="14.5" x14ac:dyDescent="0.35">
      <c r="B10" s="20">
        <v>2007</v>
      </c>
      <c r="C10" s="14" t="s">
        <v>25</v>
      </c>
      <c r="D10" s="2">
        <v>40477.898999999998</v>
      </c>
      <c r="E10" s="2">
        <v>61170.290245508986</v>
      </c>
      <c r="F10" s="2" t="s">
        <v>21</v>
      </c>
      <c r="G10" s="2">
        <v>5292.1039221556885</v>
      </c>
      <c r="H10" s="3">
        <v>66462.394167664679</v>
      </c>
      <c r="I10" s="3"/>
      <c r="J10" s="7">
        <v>0</v>
      </c>
      <c r="K10" s="3">
        <v>112150.4951173291</v>
      </c>
    </row>
    <row r="11" spans="2:11" s="9" customFormat="1" ht="14.5" x14ac:dyDescent="0.35">
      <c r="B11" s="20">
        <v>2007</v>
      </c>
      <c r="C11" s="14" t="s">
        <v>26</v>
      </c>
      <c r="D11" s="2">
        <v>42544.307000000001</v>
      </c>
      <c r="E11" s="2">
        <v>56236.643449101801</v>
      </c>
      <c r="F11" s="2" t="s">
        <v>21</v>
      </c>
      <c r="G11" s="2">
        <v>3242.2588263473053</v>
      </c>
      <c r="H11" s="3">
        <v>59478.902275449109</v>
      </c>
      <c r="I11" s="3"/>
      <c r="J11" s="7">
        <v>0</v>
      </c>
      <c r="K11" s="3">
        <v>107781.38347175784</v>
      </c>
    </row>
    <row r="12" spans="2:11" s="9" customFormat="1" ht="14.5" x14ac:dyDescent="0.35">
      <c r="B12" s="20">
        <v>2007</v>
      </c>
      <c r="C12" s="14" t="s">
        <v>27</v>
      </c>
      <c r="D12" s="2">
        <v>42482.423000000003</v>
      </c>
      <c r="E12" s="2">
        <v>58778.298994011973</v>
      </c>
      <c r="F12" s="2" t="s">
        <v>21</v>
      </c>
      <c r="G12" s="2">
        <v>5671.1414670658687</v>
      </c>
      <c r="H12" s="3">
        <v>64449.440461077844</v>
      </c>
      <c r="I12" s="3"/>
      <c r="J12" s="7">
        <v>0</v>
      </c>
      <c r="K12" s="3">
        <v>112527.46162550739</v>
      </c>
    </row>
    <row r="13" spans="2:11" s="9" customFormat="1" ht="14.5" x14ac:dyDescent="0.35">
      <c r="B13" s="20">
        <v>2007</v>
      </c>
      <c r="C13" s="14" t="s">
        <v>28</v>
      </c>
      <c r="D13" s="2">
        <v>44097.723999999995</v>
      </c>
      <c r="E13" s="2">
        <v>63514.73474850299</v>
      </c>
      <c r="F13" s="2" t="s">
        <v>21</v>
      </c>
      <c r="G13" s="2">
        <v>6385.3698802395211</v>
      </c>
      <c r="H13" s="3">
        <v>69900.104628742512</v>
      </c>
      <c r="I13" s="3"/>
      <c r="J13" s="7">
        <v>1195.335</v>
      </c>
      <c r="K13" s="3">
        <v>120948.26046431297</v>
      </c>
    </row>
    <row r="14" spans="2:11" s="9" customFormat="1" ht="14.5" x14ac:dyDescent="0.35">
      <c r="B14" s="20">
        <v>2007</v>
      </c>
      <c r="C14" s="14" t="s">
        <v>29</v>
      </c>
      <c r="D14" s="2">
        <v>36504.146999999997</v>
      </c>
      <c r="E14" s="2">
        <v>56324.899910179651</v>
      </c>
      <c r="F14" s="2" t="s">
        <v>21</v>
      </c>
      <c r="G14" s="2">
        <v>6585.561928143713</v>
      </c>
      <c r="H14" s="3">
        <v>62910.461838323361</v>
      </c>
      <c r="I14" s="3"/>
      <c r="J14" s="7">
        <v>61.247</v>
      </c>
      <c r="K14" s="3">
        <v>105179.8519322831</v>
      </c>
    </row>
    <row r="15" spans="2:11" s="9" customFormat="1" ht="14.5" x14ac:dyDescent="0.35">
      <c r="B15" s="20">
        <v>2007</v>
      </c>
      <c r="C15" s="14" t="s">
        <v>30</v>
      </c>
      <c r="D15" s="2">
        <v>38857.964</v>
      </c>
      <c r="E15" s="2">
        <v>63255.975275449106</v>
      </c>
      <c r="F15" s="2" t="s">
        <v>21</v>
      </c>
      <c r="G15" s="2">
        <v>7404.8678083832328</v>
      </c>
      <c r="H15" s="3">
        <v>70660.84308383234</v>
      </c>
      <c r="I15" s="3"/>
      <c r="J15" s="7">
        <v>47.759</v>
      </c>
      <c r="K15" s="3">
        <v>115495.8212683961</v>
      </c>
    </row>
    <row r="16" spans="2:11" s="9" customFormat="1" ht="14.5" x14ac:dyDescent="0.35">
      <c r="B16" s="20">
        <v>2007</v>
      </c>
      <c r="C16" s="14" t="s">
        <v>31</v>
      </c>
      <c r="D16" s="2">
        <v>34904.416999999994</v>
      </c>
      <c r="E16" s="2">
        <v>60133.369634730538</v>
      </c>
      <c r="F16" s="2" t="s">
        <v>21</v>
      </c>
      <c r="G16" s="2">
        <v>8632.3167065868274</v>
      </c>
      <c r="H16" s="3">
        <v>68765.686341317371</v>
      </c>
      <c r="I16" s="3"/>
      <c r="J16" s="7">
        <v>785.84799999999996</v>
      </c>
      <c r="K16" s="3">
        <v>109248.28260306234</v>
      </c>
    </row>
    <row r="17" spans="2:11" s="9" customFormat="1" ht="14.5" x14ac:dyDescent="0.35">
      <c r="B17" s="20">
        <v>2007</v>
      </c>
      <c r="C17" s="14" t="s">
        <v>32</v>
      </c>
      <c r="D17" s="2">
        <v>43413.218000000001</v>
      </c>
      <c r="E17" s="2">
        <v>145112.53762275446</v>
      </c>
      <c r="F17" s="2" t="s">
        <v>21</v>
      </c>
      <c r="G17" s="2">
        <v>8434.7358742514971</v>
      </c>
      <c r="H17" s="3">
        <v>153547.27349700595</v>
      </c>
      <c r="I17" s="3"/>
      <c r="J17" s="7">
        <v>0</v>
      </c>
      <c r="K17" s="3">
        <v>104154.96590304622</v>
      </c>
    </row>
    <row r="18" spans="2:11" s="9" customFormat="1" ht="14.5" x14ac:dyDescent="0.35">
      <c r="B18" s="19">
        <v>2007</v>
      </c>
      <c r="C18" s="15" t="s">
        <v>33</v>
      </c>
      <c r="D18" s="16">
        <v>465067.53899999999</v>
      </c>
      <c r="E18" s="16">
        <v>769790.28923353285</v>
      </c>
      <c r="F18" s="16"/>
      <c r="G18" s="16">
        <v>90391.226089820368</v>
      </c>
      <c r="H18" s="16">
        <v>860181.55332335318</v>
      </c>
      <c r="I18" s="16"/>
      <c r="J18" s="16">
        <v>5385.6840000000002</v>
      </c>
      <c r="K18" s="16">
        <v>1293039.3964861052</v>
      </c>
    </row>
    <row r="19" spans="2:11" s="9" customFormat="1" ht="14.5" x14ac:dyDescent="0.35">
      <c r="B19" s="20">
        <v>2008</v>
      </c>
      <c r="C19" s="14" t="s">
        <v>20</v>
      </c>
      <c r="D19" s="2">
        <v>26003.589</v>
      </c>
      <c r="E19" s="2">
        <v>21844.634772455087</v>
      </c>
      <c r="F19" s="2" t="s">
        <v>21</v>
      </c>
      <c r="G19" s="2">
        <v>7386.0956167664672</v>
      </c>
      <c r="H19" s="3">
        <v>29230.730389221553</v>
      </c>
      <c r="I19" s="3"/>
      <c r="J19" s="7">
        <v>125.316</v>
      </c>
      <c r="K19" s="3">
        <v>92062.523959132071</v>
      </c>
    </row>
    <row r="20" spans="2:11" s="9" customFormat="1" ht="14.5" x14ac:dyDescent="0.35">
      <c r="B20" s="20">
        <v>2008</v>
      </c>
      <c r="C20" s="14" t="s">
        <v>22</v>
      </c>
      <c r="D20" s="2">
        <v>31530.796000000002</v>
      </c>
      <c r="E20" s="2">
        <v>23921.105826347302</v>
      </c>
      <c r="F20" s="2" t="s">
        <v>21</v>
      </c>
      <c r="G20" s="2">
        <v>7041.9315089820357</v>
      </c>
      <c r="H20" s="3">
        <v>30963.03733532934</v>
      </c>
      <c r="I20" s="3"/>
      <c r="J20" s="7">
        <v>24.72</v>
      </c>
      <c r="K20" s="3">
        <v>99240.755460608983</v>
      </c>
    </row>
    <row r="21" spans="2:11" s="9" customFormat="1" ht="14.5" x14ac:dyDescent="0.35">
      <c r="B21" s="20">
        <v>2008</v>
      </c>
      <c r="C21" s="14" t="s">
        <v>23</v>
      </c>
      <c r="D21" s="2">
        <v>31986.924999999999</v>
      </c>
      <c r="E21" s="2">
        <v>36217.603928143712</v>
      </c>
      <c r="F21" s="2" t="s">
        <v>21</v>
      </c>
      <c r="G21" s="2">
        <v>6883.348550898203</v>
      </c>
      <c r="H21" s="3">
        <v>43100.952479041916</v>
      </c>
      <c r="I21" s="3"/>
      <c r="J21" s="7">
        <v>25.18</v>
      </c>
      <c r="K21" s="3">
        <v>112586.68085096584</v>
      </c>
    </row>
    <row r="22" spans="2:11" s="9" customFormat="1" ht="14.5" x14ac:dyDescent="0.35">
      <c r="B22" s="20">
        <v>2008</v>
      </c>
      <c r="C22" s="14" t="s">
        <v>24</v>
      </c>
      <c r="D22" s="2">
        <v>36029.299999999996</v>
      </c>
      <c r="E22" s="2">
        <v>46777.882251497002</v>
      </c>
      <c r="F22" s="2" t="s">
        <v>21</v>
      </c>
      <c r="G22" s="2">
        <v>5570.3122215568856</v>
      </c>
      <c r="H22" s="3">
        <v>52348.213473053889</v>
      </c>
      <c r="I22" s="3"/>
      <c r="J22" s="7">
        <v>23.745999999999999</v>
      </c>
      <c r="K22" s="3">
        <v>94191.430416006915</v>
      </c>
    </row>
    <row r="23" spans="2:11" s="9" customFormat="1" ht="14.5" x14ac:dyDescent="0.35">
      <c r="B23" s="20">
        <v>2008</v>
      </c>
      <c r="C23" s="14" t="s">
        <v>25</v>
      </c>
      <c r="D23" s="2">
        <v>37450.139000000003</v>
      </c>
      <c r="E23" s="2">
        <v>50909.633431137729</v>
      </c>
      <c r="F23" s="2" t="s">
        <v>21</v>
      </c>
      <c r="G23" s="2">
        <v>3453.6988622754493</v>
      </c>
      <c r="H23" s="3">
        <v>54363.332293413179</v>
      </c>
      <c r="I23" s="3"/>
      <c r="J23" s="7">
        <v>376.38</v>
      </c>
      <c r="K23" s="3">
        <v>97824.506771601096</v>
      </c>
    </row>
    <row r="24" spans="2:11" s="9" customFormat="1" ht="14.5" x14ac:dyDescent="0.35">
      <c r="B24" s="20">
        <v>2008</v>
      </c>
      <c r="C24" s="14" t="s">
        <v>26</v>
      </c>
      <c r="D24" s="2">
        <v>37038.603000000003</v>
      </c>
      <c r="E24" s="2">
        <v>47948.76458682635</v>
      </c>
      <c r="F24" s="2" t="s">
        <v>21</v>
      </c>
      <c r="G24" s="2">
        <v>2867.4899760479043</v>
      </c>
      <c r="H24" s="3">
        <v>50816.254562874252</v>
      </c>
      <c r="I24" s="3"/>
      <c r="J24" s="7">
        <v>0</v>
      </c>
      <c r="K24" s="3">
        <v>93885.000619921222</v>
      </c>
    </row>
    <row r="25" spans="2:11" s="9" customFormat="1" ht="14.5" x14ac:dyDescent="0.35">
      <c r="B25" s="20">
        <v>2008</v>
      </c>
      <c r="C25" s="14" t="s">
        <v>27</v>
      </c>
      <c r="D25" s="2">
        <v>40332.274442953021</v>
      </c>
      <c r="E25" s="2">
        <v>56200.6802754491</v>
      </c>
      <c r="F25" s="2" t="s">
        <v>21</v>
      </c>
      <c r="G25" s="2">
        <v>3484.04</v>
      </c>
      <c r="H25" s="3">
        <v>59684.720275449101</v>
      </c>
      <c r="I25" s="3"/>
      <c r="J25" s="7">
        <v>281.62</v>
      </c>
      <c r="K25" s="3">
        <v>106207.05139961017</v>
      </c>
    </row>
    <row r="26" spans="2:11" s="9" customFormat="1" ht="14.5" x14ac:dyDescent="0.35">
      <c r="B26" s="20">
        <v>2008</v>
      </c>
      <c r="C26" s="14" t="s">
        <v>28</v>
      </c>
      <c r="D26" s="2">
        <v>39425.726000000002</v>
      </c>
      <c r="E26" s="2">
        <v>38791.297999999995</v>
      </c>
      <c r="F26" s="2">
        <v>13610.77048502994</v>
      </c>
      <c r="G26" s="2">
        <v>1714.9175449101799</v>
      </c>
      <c r="H26" s="3">
        <v>54116.986029940119</v>
      </c>
      <c r="I26" s="3"/>
      <c r="J26" s="7">
        <v>129</v>
      </c>
      <c r="K26" s="3">
        <v>99731.88360544348</v>
      </c>
    </row>
    <row r="27" spans="2:11" s="9" customFormat="1" ht="14.5" x14ac:dyDescent="0.35">
      <c r="B27" s="20">
        <v>2008</v>
      </c>
      <c r="C27" s="14" t="s">
        <v>29</v>
      </c>
      <c r="D27" s="2">
        <v>33574.014999999999</v>
      </c>
      <c r="E27" s="2">
        <v>43591.794000000002</v>
      </c>
      <c r="F27" s="2">
        <v>19800.300233532933</v>
      </c>
      <c r="G27" s="2">
        <v>4724.5154970059884</v>
      </c>
      <c r="H27" s="3">
        <v>68149.163730538916</v>
      </c>
      <c r="I27" s="3"/>
      <c r="J27" s="7">
        <v>277</v>
      </c>
      <c r="K27" s="3">
        <v>107676.49637315638</v>
      </c>
    </row>
    <row r="28" spans="2:11" s="9" customFormat="1" ht="14.5" x14ac:dyDescent="0.35">
      <c r="B28" s="20">
        <v>2008</v>
      </c>
      <c r="C28" s="14" t="s">
        <v>30</v>
      </c>
      <c r="D28" s="2">
        <v>35839.71</v>
      </c>
      <c r="E28" s="2">
        <v>40535.460000000006</v>
      </c>
      <c r="F28" s="2">
        <v>15495.857347305388</v>
      </c>
      <c r="G28" s="2">
        <v>3770.942</v>
      </c>
      <c r="H28" s="3">
        <v>59802.259347305393</v>
      </c>
      <c r="I28" s="3"/>
      <c r="J28" s="7">
        <v>25.82</v>
      </c>
      <c r="K28" s="3">
        <v>101004.19483891614</v>
      </c>
    </row>
    <row r="29" spans="2:11" s="9" customFormat="1" ht="14.5" x14ac:dyDescent="0.35">
      <c r="B29" s="20">
        <v>2008</v>
      </c>
      <c r="C29" s="14" t="s">
        <v>31</v>
      </c>
      <c r="D29" s="2">
        <v>31719.823000000004</v>
      </c>
      <c r="E29" s="2">
        <v>50950.514856287424</v>
      </c>
      <c r="F29" s="2" t="s">
        <v>21</v>
      </c>
      <c r="G29" s="2">
        <v>4520.5329999999994</v>
      </c>
      <c r="H29" s="3">
        <v>55471.04785628742</v>
      </c>
      <c r="I29" s="3"/>
      <c r="J29" s="7">
        <v>744.27199999999993</v>
      </c>
      <c r="K29" s="3">
        <v>91958.832170045804</v>
      </c>
    </row>
    <row r="30" spans="2:11" s="9" customFormat="1" ht="14.5" x14ac:dyDescent="0.35">
      <c r="B30" s="20">
        <v>2008</v>
      </c>
      <c r="C30" s="14" t="s">
        <v>32</v>
      </c>
      <c r="D30" s="2">
        <v>35108.675999999999</v>
      </c>
      <c r="E30" s="2">
        <v>37750.475988023951</v>
      </c>
      <c r="F30" s="2">
        <v>18834.715191616764</v>
      </c>
      <c r="G30" s="2">
        <v>6065.5939101796412</v>
      </c>
      <c r="H30" s="3">
        <v>62650.785089820398</v>
      </c>
      <c r="I30" s="3"/>
      <c r="J30" s="7">
        <v>102.36799999999999</v>
      </c>
      <c r="K30" s="3">
        <v>100941.84113680023</v>
      </c>
    </row>
    <row r="31" spans="2:11" s="9" customFormat="1" ht="14.5" x14ac:dyDescent="0.35">
      <c r="B31" s="19">
        <v>2008</v>
      </c>
      <c r="C31" s="15" t="s">
        <v>33</v>
      </c>
      <c r="D31" s="16">
        <v>416039.57644295308</v>
      </c>
      <c r="E31" s="16">
        <v>495439.84791616775</v>
      </c>
      <c r="F31" s="16">
        <v>67741.643257485019</v>
      </c>
      <c r="G31" s="16">
        <v>57483.418688622754</v>
      </c>
      <c r="H31" s="16">
        <v>620697.48286227544</v>
      </c>
      <c r="I31" s="16"/>
      <c r="J31" s="16">
        <v>2135.422</v>
      </c>
      <c r="K31" s="16">
        <v>1197311.1976022082</v>
      </c>
    </row>
    <row r="32" spans="2:11" s="9" customFormat="1" ht="14.5" x14ac:dyDescent="0.35">
      <c r="B32" s="20">
        <v>2009</v>
      </c>
      <c r="C32" s="14" t="s">
        <v>20</v>
      </c>
      <c r="D32" s="2">
        <v>30989.867000000002</v>
      </c>
      <c r="E32" s="2">
        <v>29977.57867065868</v>
      </c>
      <c r="F32" s="2">
        <v>16741.887610778442</v>
      </c>
      <c r="G32" s="2">
        <v>5512.2386407185631</v>
      </c>
      <c r="H32" s="3">
        <v>52231.704922155688</v>
      </c>
      <c r="I32" s="3"/>
      <c r="J32" s="3">
        <v>316.03499999999997</v>
      </c>
      <c r="K32" s="3">
        <v>87729.945303028173</v>
      </c>
    </row>
    <row r="33" spans="2:11" s="9" customFormat="1" ht="14.5" x14ac:dyDescent="0.35">
      <c r="B33" s="20">
        <v>2009</v>
      </c>
      <c r="C33" s="14" t="s">
        <v>22</v>
      </c>
      <c r="D33" s="2">
        <v>28557.212</v>
      </c>
      <c r="E33" s="2">
        <v>29557.318000000003</v>
      </c>
      <c r="F33" s="2">
        <v>15375.868251497004</v>
      </c>
      <c r="G33" s="2">
        <v>5566.9703233532928</v>
      </c>
      <c r="H33" s="3">
        <v>50500.156574850298</v>
      </c>
      <c r="I33" s="3"/>
      <c r="J33" s="3">
        <v>48.625999999999998</v>
      </c>
      <c r="K33" s="3">
        <v>82582.174893642252</v>
      </c>
    </row>
    <row r="34" spans="2:11" s="9" customFormat="1" ht="14.5" x14ac:dyDescent="0.35">
      <c r="B34" s="20">
        <v>2009</v>
      </c>
      <c r="C34" s="14" t="s">
        <v>23</v>
      </c>
      <c r="D34" s="2">
        <v>32492.823999999997</v>
      </c>
      <c r="E34" s="2">
        <v>33993.512000000002</v>
      </c>
      <c r="F34" s="2">
        <v>14711.286532934131</v>
      </c>
      <c r="G34" s="2">
        <v>5949.6077664670665</v>
      </c>
      <c r="H34" s="3">
        <v>54654.406299401198</v>
      </c>
      <c r="I34" s="3"/>
      <c r="J34" s="3">
        <v>366.95099999999996</v>
      </c>
      <c r="K34" s="3">
        <v>91561.768118193155</v>
      </c>
    </row>
    <row r="35" spans="2:11" s="9" customFormat="1" ht="14.5" x14ac:dyDescent="0.35">
      <c r="B35" s="20">
        <v>2009</v>
      </c>
      <c r="C35" s="14" t="s">
        <v>24</v>
      </c>
      <c r="D35" s="2">
        <v>32911.653000000006</v>
      </c>
      <c r="E35" s="2">
        <v>31183.521000000001</v>
      </c>
      <c r="F35" s="2">
        <v>14943.344149700595</v>
      </c>
      <c r="G35" s="2">
        <v>4875.623874251497</v>
      </c>
      <c r="H35" s="3">
        <v>51002.48902395209</v>
      </c>
      <c r="I35" s="3"/>
      <c r="J35" s="3">
        <v>1194.9780000000001</v>
      </c>
      <c r="K35" s="3">
        <v>88174.424864556117</v>
      </c>
    </row>
    <row r="36" spans="2:11" s="9" customFormat="1" ht="14.5" x14ac:dyDescent="0.35">
      <c r="B36" s="20">
        <v>2009</v>
      </c>
      <c r="C36" s="14" t="s">
        <v>25</v>
      </c>
      <c r="D36" s="2">
        <v>36218.949000000001</v>
      </c>
      <c r="E36" s="2">
        <v>34253.000107784435</v>
      </c>
      <c r="F36" s="2">
        <v>14162.093035928145</v>
      </c>
      <c r="G36" s="2">
        <v>3366.7650000000003</v>
      </c>
      <c r="H36" s="3">
        <v>51781.858143712583</v>
      </c>
      <c r="I36" s="3"/>
      <c r="J36" s="3">
        <v>226.26</v>
      </c>
      <c r="K36" s="3">
        <v>91729.629631967604</v>
      </c>
    </row>
    <row r="37" spans="2:11" s="9" customFormat="1" ht="14.5" x14ac:dyDescent="0.35">
      <c r="B37" s="20">
        <v>2009</v>
      </c>
      <c r="C37" s="14" t="s">
        <v>26</v>
      </c>
      <c r="D37" s="2">
        <v>42282.467999999993</v>
      </c>
      <c r="E37" s="2">
        <v>47072.580000000009</v>
      </c>
      <c r="F37" s="2">
        <v>15999.27011976048</v>
      </c>
      <c r="G37" s="2">
        <v>3504.3370000000004</v>
      </c>
      <c r="H37" s="3">
        <v>66576.187119760492</v>
      </c>
      <c r="I37" s="3"/>
      <c r="J37" s="3">
        <v>426.351</v>
      </c>
      <c r="K37" s="3">
        <v>113325.4577808343</v>
      </c>
    </row>
    <row r="38" spans="2:11" s="9" customFormat="1" ht="14.5" x14ac:dyDescent="0.35">
      <c r="B38" s="20">
        <v>2009</v>
      </c>
      <c r="C38" s="14" t="s">
        <v>27</v>
      </c>
      <c r="D38" s="2">
        <v>34218.838999999993</v>
      </c>
      <c r="E38" s="2">
        <v>22849.472041916168</v>
      </c>
      <c r="F38" s="2">
        <v>14415.285999999998</v>
      </c>
      <c r="G38" s="2">
        <v>3118.4049999999997</v>
      </c>
      <c r="H38" s="3">
        <v>40383.163041916167</v>
      </c>
      <c r="I38" s="3"/>
      <c r="J38" s="3">
        <v>79.168000000000006</v>
      </c>
      <c r="K38" s="3">
        <v>78567.361424466508</v>
      </c>
    </row>
    <row r="39" spans="2:11" s="9" customFormat="1" ht="14.5" x14ac:dyDescent="0.35">
      <c r="B39" s="20">
        <v>2009</v>
      </c>
      <c r="C39" s="14" t="s">
        <v>28</v>
      </c>
      <c r="D39" s="2">
        <v>34369.487000000001</v>
      </c>
      <c r="E39" s="2">
        <v>29302.762269461073</v>
      </c>
      <c r="F39" s="2">
        <v>16624.908023952095</v>
      </c>
      <c r="G39" s="2">
        <v>3489.1559999999999</v>
      </c>
      <c r="H39" s="3">
        <v>49416.826293413171</v>
      </c>
      <c r="I39" s="3"/>
      <c r="J39" s="3">
        <v>49.15</v>
      </c>
      <c r="K39" s="3">
        <v>87378.672887372901</v>
      </c>
    </row>
    <row r="40" spans="2:11" s="9" customFormat="1" ht="14.5" x14ac:dyDescent="0.35">
      <c r="B40" s="20">
        <v>2009</v>
      </c>
      <c r="C40" s="14" t="s">
        <v>29</v>
      </c>
      <c r="D40" s="2">
        <v>33776.69</v>
      </c>
      <c r="E40" s="2">
        <v>33618.591107784428</v>
      </c>
      <c r="F40" s="2">
        <v>19342.969173652691</v>
      </c>
      <c r="G40" s="2">
        <v>3469.3230000000003</v>
      </c>
      <c r="H40" s="3">
        <v>56430.883281437127</v>
      </c>
      <c r="I40" s="3"/>
      <c r="J40" s="3">
        <v>53.476999999999997</v>
      </c>
      <c r="K40" s="3">
        <v>94143.973361974044</v>
      </c>
    </row>
    <row r="41" spans="2:11" s="9" customFormat="1" ht="14.5" x14ac:dyDescent="0.35">
      <c r="B41" s="20">
        <v>2009</v>
      </c>
      <c r="C41" s="14" t="s">
        <v>30</v>
      </c>
      <c r="D41" s="2">
        <v>33265.029000000002</v>
      </c>
      <c r="E41" s="2">
        <v>32120.096646706585</v>
      </c>
      <c r="F41" s="2">
        <v>16552.491508982035</v>
      </c>
      <c r="G41" s="2">
        <v>3753.277</v>
      </c>
      <c r="H41" s="3">
        <v>52426.069155688616</v>
      </c>
      <c r="I41" s="3"/>
      <c r="J41" s="3">
        <v>25.242999999999999</v>
      </c>
      <c r="K41" s="3">
        <v>90351.004657366488</v>
      </c>
    </row>
    <row r="42" spans="2:11" s="9" customFormat="1" ht="14.5" x14ac:dyDescent="0.35">
      <c r="B42" s="20">
        <v>2009</v>
      </c>
      <c r="C42" s="14" t="s">
        <v>31</v>
      </c>
      <c r="D42" s="2">
        <v>28516.994000000002</v>
      </c>
      <c r="E42" s="2">
        <v>30542.068389221557</v>
      </c>
      <c r="F42" s="2">
        <v>15620.431029940117</v>
      </c>
      <c r="G42" s="2">
        <v>4304.4644910179641</v>
      </c>
      <c r="H42" s="3">
        <v>50466.963910179635</v>
      </c>
      <c r="I42" s="3"/>
      <c r="J42" s="3">
        <v>212.76300000000001</v>
      </c>
      <c r="K42" s="3">
        <v>83086.633804474943</v>
      </c>
    </row>
    <row r="43" spans="2:11" s="9" customFormat="1" ht="14.5" x14ac:dyDescent="0.35">
      <c r="B43" s="20">
        <v>2009</v>
      </c>
      <c r="C43" s="14" t="s">
        <v>32</v>
      </c>
      <c r="D43" s="2">
        <v>47690.539999999994</v>
      </c>
      <c r="E43" s="2">
        <v>62729.27758083833</v>
      </c>
      <c r="F43" s="2">
        <v>31976.461874251501</v>
      </c>
      <c r="G43" s="2">
        <v>4636.7158083832337</v>
      </c>
      <c r="H43" s="3">
        <v>99342.455263473064</v>
      </c>
      <c r="I43" s="3"/>
      <c r="J43" s="3">
        <v>322.68</v>
      </c>
      <c r="K43" s="3">
        <v>88967.207565486475</v>
      </c>
    </row>
    <row r="44" spans="2:11" s="9" customFormat="1" ht="14.5" x14ac:dyDescent="0.35">
      <c r="B44" s="19">
        <v>2009</v>
      </c>
      <c r="C44" s="15" t="s">
        <v>33</v>
      </c>
      <c r="D44" s="16">
        <v>415290.55199999997</v>
      </c>
      <c r="E44" s="16">
        <v>417199.77781437128</v>
      </c>
      <c r="F44" s="16">
        <v>206466.29731137725</v>
      </c>
      <c r="G44" s="16">
        <v>51546.883904191622</v>
      </c>
      <c r="H44" s="16">
        <v>675213.16302994022</v>
      </c>
      <c r="I44" s="16"/>
      <c r="J44" s="16">
        <v>3321.6819999999998</v>
      </c>
      <c r="K44" s="16">
        <v>1077598.2542933628</v>
      </c>
    </row>
    <row r="45" spans="2:11" s="9" customFormat="1" ht="14.5" x14ac:dyDescent="0.35">
      <c r="B45" s="20">
        <v>2010</v>
      </c>
      <c r="C45" s="14" t="s">
        <v>20</v>
      </c>
      <c r="D45" s="2">
        <v>24428.027999999998</v>
      </c>
      <c r="E45" s="2">
        <v>24273.173628742512</v>
      </c>
      <c r="F45" s="2">
        <v>13495.043940119762</v>
      </c>
      <c r="G45" s="2">
        <v>2446.9973413173652</v>
      </c>
      <c r="H45" s="3">
        <v>40215.214910179639</v>
      </c>
      <c r="I45" s="3"/>
      <c r="J45" s="3">
        <v>284.50400000000002</v>
      </c>
      <c r="K45" s="3">
        <v>79222.822011969343</v>
      </c>
    </row>
    <row r="46" spans="2:11" s="9" customFormat="1" ht="14.5" x14ac:dyDescent="0.35">
      <c r="B46" s="20">
        <v>2010</v>
      </c>
      <c r="C46" s="14" t="s">
        <v>22</v>
      </c>
      <c r="D46" s="2">
        <v>25725.750000000004</v>
      </c>
      <c r="E46" s="2">
        <v>26144.049556886228</v>
      </c>
      <c r="F46" s="2">
        <v>16508.973934131736</v>
      </c>
      <c r="G46" s="2">
        <v>2559.0288802395212</v>
      </c>
      <c r="H46" s="3">
        <v>45212.256371257485</v>
      </c>
      <c r="I46" s="3"/>
      <c r="J46" s="3">
        <v>191.75199999999998</v>
      </c>
      <c r="K46" s="3">
        <v>83173.300924389463</v>
      </c>
    </row>
    <row r="47" spans="2:11" s="9" customFormat="1" ht="14.5" x14ac:dyDescent="0.35">
      <c r="B47" s="20">
        <v>2010</v>
      </c>
      <c r="C47" s="14" t="s">
        <v>23</v>
      </c>
      <c r="D47" s="2">
        <v>28982.589</v>
      </c>
      <c r="E47" s="2">
        <v>27299.536712574849</v>
      </c>
      <c r="F47" s="2">
        <v>17937.34663473054</v>
      </c>
      <c r="G47" s="2">
        <v>2931.44</v>
      </c>
      <c r="H47" s="3">
        <v>48168.323347305392</v>
      </c>
      <c r="I47" s="3"/>
      <c r="J47" s="3">
        <v>107.459</v>
      </c>
      <c r="K47" s="3">
        <v>89344.209366880343</v>
      </c>
    </row>
    <row r="48" spans="2:11" s="9" customFormat="1" ht="14.5" x14ac:dyDescent="0.35">
      <c r="B48" s="20">
        <v>2010</v>
      </c>
      <c r="C48" s="14" t="s">
        <v>24</v>
      </c>
      <c r="D48" s="2">
        <v>28232.46</v>
      </c>
      <c r="E48" s="2">
        <v>28494.593766467067</v>
      </c>
      <c r="F48" s="2">
        <v>15905.923317365266</v>
      </c>
      <c r="G48" s="2">
        <v>2704.715089820359</v>
      </c>
      <c r="H48" s="3">
        <v>47105.232173652694</v>
      </c>
      <c r="I48" s="3"/>
      <c r="J48" s="3">
        <v>0</v>
      </c>
      <c r="K48" s="3">
        <v>78342.961574659406</v>
      </c>
    </row>
    <row r="49" spans="2:11" s="9" customFormat="1" ht="14.5" x14ac:dyDescent="0.35">
      <c r="B49" s="20">
        <v>2010</v>
      </c>
      <c r="C49" s="14" t="s">
        <v>25</v>
      </c>
      <c r="D49" s="2">
        <v>33368.991999999998</v>
      </c>
      <c r="E49" s="2">
        <v>35378.324047904185</v>
      </c>
      <c r="F49" s="2">
        <v>16515.392712574852</v>
      </c>
      <c r="G49" s="2">
        <v>2457.2069999999999</v>
      </c>
      <c r="H49" s="3">
        <v>54350.92376047904</v>
      </c>
      <c r="I49" s="3"/>
      <c r="J49" s="3">
        <v>0</v>
      </c>
      <c r="K49" s="3">
        <v>91073.447617861588</v>
      </c>
    </row>
    <row r="50" spans="2:11" s="9" customFormat="1" ht="14.5" x14ac:dyDescent="0.35">
      <c r="B50" s="20">
        <v>2010</v>
      </c>
      <c r="C50" s="14" t="s">
        <v>26</v>
      </c>
      <c r="D50" s="2">
        <v>32437.215000000004</v>
      </c>
      <c r="E50" s="2">
        <v>33879.795580838327</v>
      </c>
      <c r="F50" s="2">
        <v>15440.016760479042</v>
      </c>
      <c r="G50" s="2">
        <v>2351.864</v>
      </c>
      <c r="H50" s="3">
        <v>51671.676341317368</v>
      </c>
      <c r="I50" s="3"/>
      <c r="J50" s="3">
        <v>58.519999999999996</v>
      </c>
      <c r="K50" s="3">
        <v>88184.599940310654</v>
      </c>
    </row>
    <row r="51" spans="2:11" s="9" customFormat="1" ht="14.5" x14ac:dyDescent="0.35">
      <c r="B51" s="20">
        <v>2010</v>
      </c>
      <c r="C51" s="14" t="s">
        <v>27</v>
      </c>
      <c r="D51" s="2">
        <v>36388.064999999995</v>
      </c>
      <c r="E51" s="2">
        <v>34492.934592814367</v>
      </c>
      <c r="F51" s="2">
        <v>17951.03382035928</v>
      </c>
      <c r="G51" s="2">
        <v>2352.9110000000001</v>
      </c>
      <c r="H51" s="3">
        <v>54796.879413173643</v>
      </c>
      <c r="I51" s="3"/>
      <c r="J51" s="3">
        <v>0</v>
      </c>
      <c r="K51" s="3">
        <v>94835.793767200492</v>
      </c>
    </row>
    <row r="52" spans="2:11" s="9" customFormat="1" ht="14.5" x14ac:dyDescent="0.35">
      <c r="B52" s="20">
        <v>2010</v>
      </c>
      <c r="C52" s="14" t="s">
        <v>28</v>
      </c>
      <c r="D52" s="2">
        <v>35153.737000000001</v>
      </c>
      <c r="E52" s="2">
        <v>33045.885281437128</v>
      </c>
      <c r="F52" s="2">
        <v>20424.789970059883</v>
      </c>
      <c r="G52" s="2">
        <v>2468.2750000000001</v>
      </c>
      <c r="H52" s="3">
        <v>55938.950251497015</v>
      </c>
      <c r="I52" s="3"/>
      <c r="J52" s="3">
        <v>25</v>
      </c>
      <c r="K52" s="3">
        <v>95114.114476329225</v>
      </c>
    </row>
    <row r="53" spans="2:11" s="9" customFormat="1" ht="14.5" x14ac:dyDescent="0.35">
      <c r="B53" s="20">
        <v>2010</v>
      </c>
      <c r="C53" s="14" t="s">
        <v>29</v>
      </c>
      <c r="D53" s="2">
        <v>31714.615000000002</v>
      </c>
      <c r="E53" s="2">
        <v>32743.822479041923</v>
      </c>
      <c r="F53" s="2">
        <v>20453.883586826345</v>
      </c>
      <c r="G53" s="2">
        <v>2595.163</v>
      </c>
      <c r="H53" s="3">
        <v>55792.869065868268</v>
      </c>
      <c r="I53" s="3"/>
      <c r="J53" s="3">
        <v>25</v>
      </c>
      <c r="K53" s="3">
        <v>91557.557186673643</v>
      </c>
    </row>
    <row r="54" spans="2:11" s="9" customFormat="1" ht="14.5" x14ac:dyDescent="0.35">
      <c r="B54" s="20">
        <v>2010</v>
      </c>
      <c r="C54" s="14" t="s">
        <v>30</v>
      </c>
      <c r="D54" s="2">
        <v>29877.191999999999</v>
      </c>
      <c r="E54" s="2">
        <v>32852.918712574843</v>
      </c>
      <c r="F54" s="2">
        <v>18428.329293413175</v>
      </c>
      <c r="G54" s="2">
        <v>2403.3919999999998</v>
      </c>
      <c r="H54" s="3">
        <v>53684.640005988018</v>
      </c>
      <c r="I54" s="3"/>
      <c r="J54" s="3">
        <v>29.489000000000001</v>
      </c>
      <c r="K54" s="3">
        <v>87510.128209008151</v>
      </c>
    </row>
    <row r="55" spans="2:11" s="9" customFormat="1" ht="14.5" x14ac:dyDescent="0.35">
      <c r="B55" s="20">
        <v>2010</v>
      </c>
      <c r="C55" s="14" t="s">
        <v>31</v>
      </c>
      <c r="D55" s="2">
        <v>28639.702000000001</v>
      </c>
      <c r="E55" s="2">
        <v>35462.910586826343</v>
      </c>
      <c r="F55" s="2">
        <v>21041.501011976045</v>
      </c>
      <c r="G55" s="2">
        <v>823.24099999999999</v>
      </c>
      <c r="H55" s="3">
        <v>57327.652598802386</v>
      </c>
      <c r="I55" s="3"/>
      <c r="J55" s="3">
        <v>240.77600000000001</v>
      </c>
      <c r="K55" s="3">
        <v>89525.703337057421</v>
      </c>
    </row>
    <row r="56" spans="2:11" s="9" customFormat="1" ht="14.5" x14ac:dyDescent="0.35">
      <c r="B56" s="20">
        <v>2010</v>
      </c>
      <c r="C56" s="14" t="s">
        <v>32</v>
      </c>
      <c r="D56" s="2">
        <v>31827.102000000003</v>
      </c>
      <c r="E56" s="2">
        <v>36855.650191616769</v>
      </c>
      <c r="F56" s="2">
        <v>25421.180598802395</v>
      </c>
      <c r="G56" s="2">
        <v>2020.703</v>
      </c>
      <c r="H56" s="3">
        <v>64297.533790419162</v>
      </c>
      <c r="I56" s="3"/>
      <c r="J56" s="3">
        <v>265.149</v>
      </c>
      <c r="K56" s="3">
        <v>99755.629166258106</v>
      </c>
    </row>
    <row r="57" spans="2:11" s="9" customFormat="1" ht="14.5" x14ac:dyDescent="0.35">
      <c r="B57" s="19">
        <v>2010</v>
      </c>
      <c r="C57" s="15" t="s">
        <v>33</v>
      </c>
      <c r="D57" s="16">
        <v>366775.44699999999</v>
      </c>
      <c r="E57" s="16">
        <v>380923.59513772454</v>
      </c>
      <c r="F57" s="16">
        <v>219523.41558083834</v>
      </c>
      <c r="G57" s="16">
        <v>28114.937311377245</v>
      </c>
      <c r="H57" s="16">
        <v>628562.15202994004</v>
      </c>
      <c r="I57" s="16"/>
      <c r="J57" s="16">
        <v>1227.6489999999999</v>
      </c>
      <c r="K57" s="16">
        <v>1067640.2675785976</v>
      </c>
    </row>
    <row r="58" spans="2:11" s="9" customFormat="1" ht="14.5" x14ac:dyDescent="0.35">
      <c r="B58" s="20">
        <v>2011</v>
      </c>
      <c r="C58" s="14" t="s">
        <v>20</v>
      </c>
      <c r="D58" s="10">
        <v>24299.476999999999</v>
      </c>
      <c r="E58" s="10">
        <v>32224.742886227545</v>
      </c>
      <c r="F58" s="10">
        <v>20655.438898203593</v>
      </c>
      <c r="G58" s="10">
        <v>0</v>
      </c>
      <c r="H58" s="7">
        <v>52880.385784431135</v>
      </c>
      <c r="I58" s="7"/>
      <c r="J58" s="7">
        <v>100.036</v>
      </c>
      <c r="K58" s="7">
        <v>80615.172342474965</v>
      </c>
    </row>
    <row r="59" spans="2:11" s="9" customFormat="1" ht="14.5" x14ac:dyDescent="0.35">
      <c r="B59" s="20">
        <v>2011</v>
      </c>
      <c r="C59" s="14" t="s">
        <v>22</v>
      </c>
      <c r="D59" s="10">
        <v>24174.231</v>
      </c>
      <c r="E59" s="10">
        <v>32691.689209580836</v>
      </c>
      <c r="F59" s="10">
        <v>17566.104161676645</v>
      </c>
      <c r="G59" s="10">
        <v>1963.9169999999999</v>
      </c>
      <c r="H59" s="7">
        <v>52221.710371257483</v>
      </c>
      <c r="I59" s="7"/>
      <c r="J59" s="7">
        <v>121.09099999999999</v>
      </c>
      <c r="K59" s="7">
        <v>79374.281663356334</v>
      </c>
    </row>
    <row r="60" spans="2:11" s="9" customFormat="1" ht="14.5" x14ac:dyDescent="0.35">
      <c r="B60" s="20">
        <v>2011</v>
      </c>
      <c r="C60" s="14" t="s">
        <v>23</v>
      </c>
      <c r="D60" s="10">
        <v>27102.848999999998</v>
      </c>
      <c r="E60" s="10">
        <v>41780.105059880239</v>
      </c>
      <c r="F60" s="10">
        <v>22388.9695748503</v>
      </c>
      <c r="G60" s="10">
        <v>11.366</v>
      </c>
      <c r="H60" s="7">
        <v>64180.440634730541</v>
      </c>
      <c r="I60" s="7"/>
      <c r="J60" s="7">
        <v>231.71299999999999</v>
      </c>
      <c r="K60" s="7">
        <v>95353.36485824082</v>
      </c>
    </row>
    <row r="61" spans="2:11" s="9" customFormat="1" ht="14.5" x14ac:dyDescent="0.35">
      <c r="B61" s="20">
        <v>2011</v>
      </c>
      <c r="C61" s="14" t="s">
        <v>24</v>
      </c>
      <c r="D61" s="10">
        <v>27015.995000000003</v>
      </c>
      <c r="E61" s="10">
        <v>31087.689143712574</v>
      </c>
      <c r="F61" s="10">
        <v>20658.806407185628</v>
      </c>
      <c r="G61" s="10">
        <v>234.33</v>
      </c>
      <c r="H61" s="7">
        <v>51980.825550898204</v>
      </c>
      <c r="I61" s="7"/>
      <c r="J61" s="7">
        <v>202.738</v>
      </c>
      <c r="K61" s="7">
        <v>83259.019129452194</v>
      </c>
    </row>
    <row r="62" spans="2:11" s="9" customFormat="1" ht="14.5" x14ac:dyDescent="0.35">
      <c r="B62" s="20">
        <v>2011</v>
      </c>
      <c r="C62" s="14" t="s">
        <v>25</v>
      </c>
      <c r="D62" s="10">
        <v>34621.756999999998</v>
      </c>
      <c r="E62" s="10">
        <v>44979.046964071858</v>
      </c>
      <c r="F62" s="10">
        <v>21942.63520958084</v>
      </c>
      <c r="G62" s="10">
        <v>702.99</v>
      </c>
      <c r="H62" s="7">
        <v>67624.672173652696</v>
      </c>
      <c r="I62" s="7"/>
      <c r="J62" s="7">
        <v>320.36699999999996</v>
      </c>
      <c r="K62" s="7">
        <v>107674.44796224328</v>
      </c>
    </row>
    <row r="63" spans="2:11" s="9" customFormat="1" ht="14.5" x14ac:dyDescent="0.35">
      <c r="B63" s="20">
        <v>2011</v>
      </c>
      <c r="C63" s="14" t="s">
        <v>26</v>
      </c>
      <c r="D63" s="2">
        <v>30748.122000000003</v>
      </c>
      <c r="E63" s="2">
        <v>24382.568568862273</v>
      </c>
      <c r="F63" s="2">
        <v>13878.408227544909</v>
      </c>
      <c r="G63" s="2">
        <v>1075.354</v>
      </c>
      <c r="H63" s="3">
        <v>39336.330796407179</v>
      </c>
      <c r="I63" s="3"/>
      <c r="J63" s="3">
        <v>113.53</v>
      </c>
      <c r="K63" s="3">
        <v>75255.1168802998</v>
      </c>
    </row>
    <row r="64" spans="2:11" s="9" customFormat="1" ht="14.5" x14ac:dyDescent="0.35">
      <c r="B64" s="20">
        <v>2011</v>
      </c>
      <c r="C64" s="14" t="s">
        <v>27</v>
      </c>
      <c r="D64" s="10">
        <v>33843.442999999999</v>
      </c>
      <c r="E64" s="10">
        <v>43244.365155688625</v>
      </c>
      <c r="F64" s="10">
        <v>11854.975940119761</v>
      </c>
      <c r="G64" s="10">
        <v>1236.8989999999999</v>
      </c>
      <c r="H64" s="7">
        <v>56336.240095808382</v>
      </c>
      <c r="I64" s="7"/>
      <c r="J64" s="7">
        <v>27.044</v>
      </c>
      <c r="K64" s="7">
        <v>95156.475995890767</v>
      </c>
    </row>
    <row r="65" spans="2:11" s="9" customFormat="1" ht="14.5" x14ac:dyDescent="0.35">
      <c r="B65" s="20">
        <v>2011</v>
      </c>
      <c r="C65" s="14" t="s">
        <v>28</v>
      </c>
      <c r="D65" s="10">
        <v>34643.970999999998</v>
      </c>
      <c r="E65" s="10">
        <v>42232.592473053883</v>
      </c>
      <c r="F65" s="10">
        <v>22384.976999999995</v>
      </c>
      <c r="G65" s="10">
        <v>2965.1009999999997</v>
      </c>
      <c r="H65" s="7">
        <v>67582.670473053877</v>
      </c>
      <c r="I65" s="7"/>
      <c r="J65" s="7">
        <v>55.593000000000004</v>
      </c>
      <c r="K65" s="7">
        <v>107947.46683850417</v>
      </c>
    </row>
    <row r="66" spans="2:11" s="9" customFormat="1" ht="14.5" x14ac:dyDescent="0.35">
      <c r="B66" s="20">
        <v>2011</v>
      </c>
      <c r="C66" s="14" t="s">
        <v>29</v>
      </c>
      <c r="D66" s="10">
        <v>29759.573</v>
      </c>
      <c r="E66" s="10">
        <v>39241.024131736522</v>
      </c>
      <c r="F66" s="10">
        <v>19430.439000141694</v>
      </c>
      <c r="G66" s="10">
        <v>1512.8440000000001</v>
      </c>
      <c r="H66" s="7">
        <v>60184.307131878217</v>
      </c>
      <c r="I66" s="7"/>
      <c r="J66" s="7">
        <v>78.795000000000002</v>
      </c>
      <c r="K66" s="7">
        <v>95472.848636228577</v>
      </c>
    </row>
    <row r="67" spans="2:11" s="9" customFormat="1" ht="14.5" x14ac:dyDescent="0.35">
      <c r="B67" s="20">
        <v>2011</v>
      </c>
      <c r="C67" s="14" t="s">
        <v>30</v>
      </c>
      <c r="D67" s="10">
        <v>29347.413</v>
      </c>
      <c r="E67" s="10">
        <v>40991.046964071858</v>
      </c>
      <c r="F67" s="10">
        <v>18315.040706586828</v>
      </c>
      <c r="G67" s="10">
        <v>1394.5150000000001</v>
      </c>
      <c r="H67" s="7">
        <v>60700.602670658685</v>
      </c>
      <c r="I67" s="7"/>
      <c r="J67" s="7">
        <v>84.832999999999998</v>
      </c>
      <c r="K67" s="7">
        <v>96070.500087027292</v>
      </c>
    </row>
    <row r="68" spans="2:11" s="9" customFormat="1" ht="14.5" x14ac:dyDescent="0.35">
      <c r="B68" s="20">
        <v>2011</v>
      </c>
      <c r="C68" s="14" t="s">
        <v>31</v>
      </c>
      <c r="D68" s="10">
        <v>27774.769999999997</v>
      </c>
      <c r="E68" s="10">
        <v>36928.527982035921</v>
      </c>
      <c r="F68" s="10">
        <v>17431.540982035927</v>
      </c>
      <c r="G68" s="10">
        <v>2685.8140000000003</v>
      </c>
      <c r="H68" s="7">
        <v>57045.882964071847</v>
      </c>
      <c r="I68" s="7"/>
      <c r="J68" s="7">
        <v>310.98500000000001</v>
      </c>
      <c r="K68" s="7">
        <v>90387.495236235569</v>
      </c>
    </row>
    <row r="69" spans="2:11" s="9" customFormat="1" ht="14.5" x14ac:dyDescent="0.35">
      <c r="B69" s="20">
        <v>2011</v>
      </c>
      <c r="C69" s="14" t="s">
        <v>32</v>
      </c>
      <c r="D69" s="10">
        <v>28546.425999999999</v>
      </c>
      <c r="E69" s="10">
        <v>36829.019425149701</v>
      </c>
      <c r="F69" s="10">
        <v>17742.142011976048</v>
      </c>
      <c r="G69" s="10">
        <v>1194.9960000000001</v>
      </c>
      <c r="H69" s="7">
        <v>55766.157437125745</v>
      </c>
      <c r="I69" s="7"/>
      <c r="J69" s="7">
        <v>421.60699999999997</v>
      </c>
      <c r="K69" s="7">
        <v>89413.964105162158</v>
      </c>
    </row>
    <row r="70" spans="2:11" s="9" customFormat="1" ht="14.5" x14ac:dyDescent="0.35">
      <c r="B70" s="19">
        <v>2011</v>
      </c>
      <c r="C70" s="15" t="s">
        <v>33</v>
      </c>
      <c r="D70" s="17">
        <f>SUM(D58+D59+D60+D61+D62+D63+D64+D66+D65+D67+D68+D69)</f>
        <v>351878.027</v>
      </c>
      <c r="E70" s="17">
        <f t="shared" ref="E70:K70" si="0">E58+E59+E60+E61+E62+E63+E64+E65+E66+E67+E68+E69</f>
        <v>446612.41796407191</v>
      </c>
      <c r="F70" s="17">
        <f t="shared" si="0"/>
        <v>224249.47811990214</v>
      </c>
      <c r="G70" s="17">
        <f t="shared" si="0"/>
        <v>14978.126</v>
      </c>
      <c r="H70" s="17">
        <f t="shared" si="0"/>
        <v>685840.22608397412</v>
      </c>
      <c r="I70" s="17"/>
      <c r="J70" s="17">
        <f t="shared" si="0"/>
        <v>2068.3320000000003</v>
      </c>
      <c r="K70" s="17">
        <f t="shared" si="0"/>
        <v>1095980.1537351159</v>
      </c>
    </row>
    <row r="71" spans="2:11" s="9" customFormat="1" ht="14.5" x14ac:dyDescent="0.35">
      <c r="B71" s="20">
        <v>2012</v>
      </c>
      <c r="C71" s="14" t="s">
        <v>20</v>
      </c>
      <c r="D71" s="10">
        <v>25734.395999999997</v>
      </c>
      <c r="E71" s="10">
        <v>46212.942994011981</v>
      </c>
      <c r="F71" s="10">
        <v>13348.580682634731</v>
      </c>
      <c r="G71" s="10">
        <v>0</v>
      </c>
      <c r="H71" s="7">
        <v>59561.727676646711</v>
      </c>
      <c r="I71" s="7"/>
      <c r="J71" s="7">
        <v>355.39100000000002</v>
      </c>
      <c r="K71" s="7">
        <v>90213.97976611543</v>
      </c>
    </row>
    <row r="72" spans="2:11" s="9" customFormat="1" ht="14.5" x14ac:dyDescent="0.35">
      <c r="B72" s="20">
        <v>2012</v>
      </c>
      <c r="C72" s="14" t="s">
        <v>22</v>
      </c>
      <c r="D72" s="10">
        <v>25155.881999999994</v>
      </c>
      <c r="E72" s="10">
        <v>41301.058353293411</v>
      </c>
      <c r="F72" s="10">
        <v>14860.040197604791</v>
      </c>
      <c r="G72" s="10">
        <v>0</v>
      </c>
      <c r="H72" s="7">
        <v>56161.098550898198</v>
      </c>
      <c r="I72" s="7"/>
      <c r="J72" s="7">
        <v>561.399</v>
      </c>
      <c r="K72" s="7">
        <v>86108.555893391065</v>
      </c>
    </row>
    <row r="73" spans="2:11" s="9" customFormat="1" ht="14.5" x14ac:dyDescent="0.35">
      <c r="B73" s="20">
        <v>2012</v>
      </c>
      <c r="C73" s="14" t="s">
        <v>23</v>
      </c>
      <c r="D73" s="10">
        <v>25980.603999999999</v>
      </c>
      <c r="E73" s="10">
        <v>53195.853616766464</v>
      </c>
      <c r="F73" s="10">
        <v>13172.010778443113</v>
      </c>
      <c r="G73" s="10">
        <v>154.80799999999999</v>
      </c>
      <c r="H73" s="7">
        <v>66522.880000000005</v>
      </c>
      <c r="I73" s="7"/>
      <c r="J73" s="7">
        <v>304.55799999999999</v>
      </c>
      <c r="K73" s="7">
        <v>97846.16</v>
      </c>
    </row>
    <row r="74" spans="2:11" s="9" customFormat="1" ht="14.5" x14ac:dyDescent="0.35">
      <c r="B74" s="20">
        <v>2012</v>
      </c>
      <c r="C74" s="14" t="s">
        <v>24</v>
      </c>
      <c r="D74" s="10">
        <v>25685.090999999993</v>
      </c>
      <c r="E74" s="10">
        <v>30568.421335329342</v>
      </c>
      <c r="F74" s="10">
        <v>12996.628742514971</v>
      </c>
      <c r="G74" s="10">
        <v>0</v>
      </c>
      <c r="H74" s="7">
        <v>43565.050077844309</v>
      </c>
      <c r="I74" s="7"/>
      <c r="J74" s="7">
        <v>204.1</v>
      </c>
      <c r="K74" s="7">
        <v>75957.552872513348</v>
      </c>
    </row>
    <row r="75" spans="2:11" s="9" customFormat="1" ht="14.5" x14ac:dyDescent="0.35">
      <c r="B75" s="20">
        <v>2012</v>
      </c>
      <c r="C75" s="14" t="s">
        <v>25</v>
      </c>
      <c r="D75" s="10">
        <v>30091.371999999999</v>
      </c>
      <c r="E75" s="10">
        <v>46588.824000000008</v>
      </c>
      <c r="F75" s="10">
        <v>14473.575598802396</v>
      </c>
      <c r="G75" s="10">
        <v>0</v>
      </c>
      <c r="H75" s="7">
        <v>61062.399598802403</v>
      </c>
      <c r="I75" s="7"/>
      <c r="J75" s="7">
        <v>181.30499999999998</v>
      </c>
      <c r="K75" s="7">
        <v>98759.905276343285</v>
      </c>
    </row>
    <row r="76" spans="2:11" s="9" customFormat="1" ht="14.5" x14ac:dyDescent="0.35">
      <c r="B76" s="20">
        <v>2012</v>
      </c>
      <c r="C76" s="14" t="s">
        <v>26</v>
      </c>
      <c r="D76" s="10">
        <v>30442.224999999999</v>
      </c>
      <c r="E76" s="10">
        <v>46344.750712574845</v>
      </c>
      <c r="F76" s="10">
        <v>11125.624</v>
      </c>
      <c r="G76" s="10">
        <v>0</v>
      </c>
      <c r="H76" s="7">
        <v>57470.374712574849</v>
      </c>
      <c r="I76" s="7"/>
      <c r="J76" s="7">
        <v>101.44</v>
      </c>
      <c r="K76" s="7">
        <v>95642.420883173254</v>
      </c>
    </row>
    <row r="77" spans="2:11" s="9" customFormat="1" ht="14.5" x14ac:dyDescent="0.35">
      <c r="B77" s="20">
        <v>2012</v>
      </c>
      <c r="C77" s="14" t="s">
        <v>27</v>
      </c>
      <c r="D77" s="10">
        <v>32907.135000000002</v>
      </c>
      <c r="E77" s="10">
        <v>47935.165089820359</v>
      </c>
      <c r="F77" s="10">
        <v>12466.704215568863</v>
      </c>
      <c r="G77" s="10">
        <v>241.31700000000001</v>
      </c>
      <c r="H77" s="7">
        <v>60643.390305389221</v>
      </c>
      <c r="I77" s="7"/>
      <c r="J77" s="7">
        <v>76.819999999999993</v>
      </c>
      <c r="K77" s="7">
        <v>100537.76415251377</v>
      </c>
    </row>
    <row r="78" spans="2:11" s="9" customFormat="1" ht="14.5" x14ac:dyDescent="0.35">
      <c r="B78" s="20">
        <v>2012</v>
      </c>
      <c r="C78" s="14" t="s">
        <v>28</v>
      </c>
      <c r="D78" s="10">
        <v>32188.181</v>
      </c>
      <c r="E78" s="10">
        <v>49111.840646706587</v>
      </c>
      <c r="F78" s="10">
        <v>16173.391934131736</v>
      </c>
      <c r="G78" s="10">
        <v>715.56399999999996</v>
      </c>
      <c r="H78" s="7">
        <v>66000.796580838331</v>
      </c>
      <c r="I78" s="7"/>
      <c r="J78" s="7">
        <v>155.517</v>
      </c>
      <c r="K78" s="7">
        <v>105540.78782565407</v>
      </c>
    </row>
    <row r="79" spans="2:11" s="9" customFormat="1" ht="14.5" x14ac:dyDescent="0.35">
      <c r="B79" s="20">
        <v>2012</v>
      </c>
      <c r="C79" s="14" t="s">
        <v>29</v>
      </c>
      <c r="D79" s="10">
        <v>28474.406999999999</v>
      </c>
      <c r="E79" s="10">
        <v>46310.598359281445</v>
      </c>
      <c r="F79" s="10">
        <v>14717.482712574849</v>
      </c>
      <c r="G79" s="10">
        <v>596.09</v>
      </c>
      <c r="H79" s="7">
        <v>61624.17107185629</v>
      </c>
      <c r="I79" s="7"/>
      <c r="J79" s="7">
        <v>173.34200000000001</v>
      </c>
      <c r="K79" s="7">
        <v>97284.368964292895</v>
      </c>
    </row>
    <row r="80" spans="2:11" s="9" customFormat="1" ht="14.5" x14ac:dyDescent="0.35">
      <c r="B80" s="20">
        <v>2012</v>
      </c>
      <c r="C80" s="14" t="s">
        <v>30</v>
      </c>
      <c r="D80" s="10">
        <v>28384.660999999996</v>
      </c>
      <c r="E80" s="10">
        <v>50283.197131736531</v>
      </c>
      <c r="F80" s="10">
        <v>13723.455604790419</v>
      </c>
      <c r="G80" s="10">
        <v>535.40899999999999</v>
      </c>
      <c r="H80" s="7">
        <v>64542.06173652695</v>
      </c>
      <c r="I80" s="7"/>
      <c r="J80" s="7">
        <v>255.78000000000003</v>
      </c>
      <c r="K80" s="7">
        <v>100126.34213426837</v>
      </c>
    </row>
    <row r="81" spans="2:11" s="9" customFormat="1" ht="14.5" x14ac:dyDescent="0.35">
      <c r="B81" s="20">
        <v>2012</v>
      </c>
      <c r="C81" s="14" t="s">
        <v>31</v>
      </c>
      <c r="D81" s="10">
        <v>26109.704999999998</v>
      </c>
      <c r="E81" s="10">
        <v>47025.358958083831</v>
      </c>
      <c r="F81" s="10">
        <v>12336.860251497004</v>
      </c>
      <c r="G81" s="10">
        <v>406.964</v>
      </c>
      <c r="H81" s="7">
        <v>59769.387209580833</v>
      </c>
      <c r="I81" s="7"/>
      <c r="J81" s="7">
        <v>531.072</v>
      </c>
      <c r="K81" s="7">
        <v>88959.130589019915</v>
      </c>
    </row>
    <row r="82" spans="2:11" s="9" customFormat="1" ht="14.5" x14ac:dyDescent="0.35">
      <c r="B82" s="20">
        <v>2012</v>
      </c>
      <c r="C82" s="14" t="s">
        <v>32</v>
      </c>
      <c r="D82" s="10">
        <v>27513.022000000001</v>
      </c>
      <c r="E82" s="10">
        <v>47503.920233532932</v>
      </c>
      <c r="F82" s="10">
        <v>14545.886281437128</v>
      </c>
      <c r="G82" s="10">
        <v>580.38400000000001</v>
      </c>
      <c r="H82" s="7">
        <v>62630.190514970054</v>
      </c>
      <c r="I82" s="7"/>
      <c r="J82" s="7">
        <v>179.28800000000001</v>
      </c>
      <c r="K82" s="7">
        <v>95053.786279291482</v>
      </c>
    </row>
    <row r="83" spans="2:11" s="9" customFormat="1" ht="14.5" x14ac:dyDescent="0.35">
      <c r="B83" s="19">
        <v>2012</v>
      </c>
      <c r="C83" s="15" t="s">
        <v>33</v>
      </c>
      <c r="D83" s="17">
        <v>338666.68100000004</v>
      </c>
      <c r="E83" s="17">
        <v>552381.93143113772</v>
      </c>
      <c r="F83" s="17">
        <v>163940.24100000001</v>
      </c>
      <c r="G83" s="17">
        <v>3230.5360000000001</v>
      </c>
      <c r="H83" s="17">
        <v>719553.52803592815</v>
      </c>
      <c r="I83" s="17"/>
      <c r="J83" s="17">
        <v>3080.0120000000002</v>
      </c>
      <c r="K83" s="17">
        <v>1132030.7546365769</v>
      </c>
    </row>
    <row r="84" spans="2:11" s="9" customFormat="1" ht="14.5" x14ac:dyDescent="0.35">
      <c r="B84" s="20">
        <v>2013</v>
      </c>
      <c r="C84" s="14" t="s">
        <v>20</v>
      </c>
      <c r="D84" s="10">
        <v>23720.425000000003</v>
      </c>
      <c r="E84" s="10">
        <v>43291.020892215565</v>
      </c>
      <c r="F84" s="10">
        <v>14906.219646706588</v>
      </c>
      <c r="G84" s="10">
        <v>584.38499999999999</v>
      </c>
      <c r="H84" s="7">
        <v>58781.625538922155</v>
      </c>
      <c r="I84" s="7"/>
      <c r="J84" s="7">
        <v>153.161</v>
      </c>
      <c r="K84" s="7">
        <v>87752.944673341233</v>
      </c>
    </row>
    <row r="85" spans="2:11" s="9" customFormat="1" ht="14.5" x14ac:dyDescent="0.35">
      <c r="B85" s="20">
        <v>2013</v>
      </c>
      <c r="C85" s="14" t="s">
        <v>22</v>
      </c>
      <c r="D85" s="10">
        <v>20781.055</v>
      </c>
      <c r="E85" s="10">
        <v>40830.050245508981</v>
      </c>
      <c r="F85" s="10">
        <v>12539.835586826348</v>
      </c>
      <c r="G85" s="10">
        <v>451.39800000000002</v>
      </c>
      <c r="H85" s="7">
        <v>53821.283832335328</v>
      </c>
      <c r="I85" s="7"/>
      <c r="J85" s="7">
        <v>0</v>
      </c>
      <c r="K85" s="7">
        <v>79301.126135219616</v>
      </c>
    </row>
    <row r="86" spans="2:11" s="9" customFormat="1" ht="14.5" x14ac:dyDescent="0.35">
      <c r="B86" s="20">
        <v>2013</v>
      </c>
      <c r="C86" s="14" t="s">
        <v>23</v>
      </c>
      <c r="D86" s="10">
        <v>23322.731000000003</v>
      </c>
      <c r="E86" s="10">
        <v>33789.468766467064</v>
      </c>
      <c r="F86" s="10">
        <v>13791.490898203592</v>
      </c>
      <c r="G86" s="10">
        <v>552.39800000000002</v>
      </c>
      <c r="H86" s="7">
        <v>48133.357664670657</v>
      </c>
      <c r="I86" s="7"/>
      <c r="J86" s="3">
        <v>75.567999999999998</v>
      </c>
      <c r="K86" s="7">
        <v>82931.680180650568</v>
      </c>
    </row>
    <row r="87" spans="2:11" s="9" customFormat="1" ht="14.5" x14ac:dyDescent="0.35">
      <c r="B87" s="20">
        <v>2013</v>
      </c>
      <c r="C87" s="14" t="s">
        <v>24</v>
      </c>
      <c r="D87" s="10">
        <v>25328.225999999999</v>
      </c>
      <c r="E87" s="10">
        <v>39414.433275449097</v>
      </c>
      <c r="F87" s="10">
        <v>14315.910317365271</v>
      </c>
      <c r="G87" s="10">
        <v>404.83199999999999</v>
      </c>
      <c r="H87" s="7">
        <v>54135.175592814368</v>
      </c>
      <c r="I87" s="7"/>
      <c r="J87" s="7">
        <v>47.093000000000004</v>
      </c>
      <c r="K87" s="7">
        <v>87106.73728912494</v>
      </c>
    </row>
    <row r="88" spans="2:11" s="9" customFormat="1" ht="14.5" x14ac:dyDescent="0.35">
      <c r="B88" s="20">
        <v>2013</v>
      </c>
      <c r="C88" s="14" t="s">
        <v>25</v>
      </c>
      <c r="D88" s="10">
        <v>28655.807999999994</v>
      </c>
      <c r="E88" s="10">
        <v>43679.902610778445</v>
      </c>
      <c r="F88" s="10">
        <v>13885.326934131735</v>
      </c>
      <c r="G88" s="10">
        <v>807.85500000000002</v>
      </c>
      <c r="H88" s="7">
        <v>58373.084544910183</v>
      </c>
      <c r="I88" s="7"/>
      <c r="J88" s="7">
        <v>50.963000000000001</v>
      </c>
      <c r="K88" s="7">
        <v>92771.645028818806</v>
      </c>
    </row>
    <row r="89" spans="2:11" s="9" customFormat="1" ht="14.5" x14ac:dyDescent="0.35">
      <c r="B89" s="20">
        <v>2013</v>
      </c>
      <c r="C89" s="14" t="s">
        <v>26</v>
      </c>
      <c r="D89" s="10">
        <v>28444.268</v>
      </c>
      <c r="E89" s="10">
        <v>46587.076712574853</v>
      </c>
      <c r="F89" s="10">
        <v>10425.522191616768</v>
      </c>
      <c r="G89" s="10">
        <v>174.71600000000001</v>
      </c>
      <c r="H89" s="7">
        <v>57187.314904191619</v>
      </c>
      <c r="I89" s="7"/>
      <c r="J89" s="7">
        <v>50.021000000000001</v>
      </c>
      <c r="K89" s="7">
        <v>94182.777575910164</v>
      </c>
    </row>
    <row r="90" spans="2:11" s="9" customFormat="1" ht="14.5" x14ac:dyDescent="0.35">
      <c r="B90" s="20">
        <v>2013</v>
      </c>
      <c r="C90" s="14" t="s">
        <v>27</v>
      </c>
      <c r="D90" s="10">
        <v>31150.396999999997</v>
      </c>
      <c r="E90" s="10">
        <v>51724.145754491023</v>
      </c>
      <c r="F90" s="10">
        <v>13917.143556886229</v>
      </c>
      <c r="G90" s="10">
        <v>455.3</v>
      </c>
      <c r="H90" s="7">
        <v>66096.589311377247</v>
      </c>
      <c r="I90" s="7"/>
      <c r="J90" s="7">
        <v>0</v>
      </c>
      <c r="K90" s="7">
        <v>104295.27315984362</v>
      </c>
    </row>
    <row r="91" spans="2:11" s="9" customFormat="1" ht="14.5" x14ac:dyDescent="0.35">
      <c r="B91" s="20">
        <v>2013</v>
      </c>
      <c r="C91" s="14" t="s">
        <v>28</v>
      </c>
      <c r="D91" s="10">
        <v>29288.859</v>
      </c>
      <c r="E91" s="10">
        <v>54192.25435928144</v>
      </c>
      <c r="F91" s="10">
        <v>17410.660185628742</v>
      </c>
      <c r="G91" s="10">
        <v>0</v>
      </c>
      <c r="H91" s="7">
        <v>71602.914544910178</v>
      </c>
      <c r="I91" s="7"/>
      <c r="J91" s="7">
        <v>52.567</v>
      </c>
      <c r="K91" s="7">
        <v>106388.03654104208</v>
      </c>
    </row>
    <row r="92" spans="2:11" s="9" customFormat="1" ht="14.5" x14ac:dyDescent="0.35">
      <c r="B92" s="20">
        <v>2013</v>
      </c>
      <c r="C92" s="14" t="s">
        <v>29</v>
      </c>
      <c r="D92" s="10">
        <v>27091.147000000001</v>
      </c>
      <c r="E92" s="10">
        <v>47652.118856287416</v>
      </c>
      <c r="F92" s="10">
        <v>13850.568988023953</v>
      </c>
      <c r="G92" s="10">
        <v>0</v>
      </c>
      <c r="H92" s="7">
        <v>61502.687844311367</v>
      </c>
      <c r="I92" s="7"/>
      <c r="J92" s="7">
        <v>26</v>
      </c>
      <c r="K92" s="7">
        <v>94181.894243640229</v>
      </c>
    </row>
    <row r="93" spans="2:11" s="9" customFormat="1" ht="14.5" x14ac:dyDescent="0.35">
      <c r="B93" s="20">
        <v>2013</v>
      </c>
      <c r="C93" s="14" t="s">
        <v>30</v>
      </c>
      <c r="D93" s="10">
        <v>26768.454000000002</v>
      </c>
      <c r="E93" s="10">
        <v>49556.845089820366</v>
      </c>
      <c r="F93" s="10">
        <v>14480.737113772455</v>
      </c>
      <c r="G93" s="10">
        <v>313.74099999999999</v>
      </c>
      <c r="H93" s="7">
        <v>64351.323203592823</v>
      </c>
      <c r="I93" s="7"/>
      <c r="J93" s="7">
        <v>25.498000000000001</v>
      </c>
      <c r="K93" s="7">
        <v>97165.740183458605</v>
      </c>
    </row>
    <row r="94" spans="2:11" s="9" customFormat="1" ht="14.5" x14ac:dyDescent="0.35">
      <c r="B94" s="20">
        <v>2013</v>
      </c>
      <c r="C94" s="14" t="s">
        <v>31</v>
      </c>
      <c r="D94" s="10">
        <v>25010.382000000001</v>
      </c>
      <c r="E94" s="10">
        <v>48141.293041916171</v>
      </c>
      <c r="F94" s="10">
        <v>10803.022538922156</v>
      </c>
      <c r="G94" s="10">
        <v>0</v>
      </c>
      <c r="H94" s="7">
        <v>58944.315580838331</v>
      </c>
      <c r="I94" s="7"/>
      <c r="J94" s="7">
        <v>48.17</v>
      </c>
      <c r="K94" s="7">
        <v>88488.917537214176</v>
      </c>
    </row>
    <row r="95" spans="2:11" s="9" customFormat="1" ht="14.5" x14ac:dyDescent="0.35">
      <c r="B95" s="20">
        <v>2013</v>
      </c>
      <c r="C95" s="14" t="s">
        <v>32</v>
      </c>
      <c r="D95" s="10">
        <v>25948.705999999998</v>
      </c>
      <c r="E95" s="10">
        <v>48425.199335329351</v>
      </c>
      <c r="F95" s="10">
        <v>13571.299700598802</v>
      </c>
      <c r="G95" s="10">
        <v>501.17399999999998</v>
      </c>
      <c r="H95" s="7">
        <v>62497.67303592815</v>
      </c>
      <c r="I95" s="7"/>
      <c r="J95" s="7">
        <v>325.40300000000002</v>
      </c>
      <c r="K95" s="7">
        <v>92665.157629887879</v>
      </c>
    </row>
    <row r="96" spans="2:11" s="9" customFormat="1" ht="14.5" x14ac:dyDescent="0.35">
      <c r="B96" s="19">
        <v>2013</v>
      </c>
      <c r="C96" s="15" t="s">
        <v>33</v>
      </c>
      <c r="D96" s="17">
        <v>315510.45799999998</v>
      </c>
      <c r="E96" s="17">
        <v>547283.80894011981</v>
      </c>
      <c r="F96" s="17">
        <v>163897.73765868263</v>
      </c>
      <c r="G96" s="17">
        <v>4245.799</v>
      </c>
      <c r="H96" s="17">
        <v>715427.34559880244</v>
      </c>
      <c r="I96" s="17"/>
      <c r="J96" s="17">
        <v>854.44400000000007</v>
      </c>
      <c r="K96" s="17">
        <v>1107231.9301781519</v>
      </c>
    </row>
    <row r="97" spans="2:11" s="9" customFormat="1" ht="14.5" x14ac:dyDescent="0.35">
      <c r="B97" s="20">
        <v>2014</v>
      </c>
      <c r="C97" s="14" t="s">
        <v>20</v>
      </c>
      <c r="D97" s="10">
        <v>24208.205999999998</v>
      </c>
      <c r="E97" s="10">
        <v>45572.827000000005</v>
      </c>
      <c r="F97" s="10">
        <v>11367.143275449102</v>
      </c>
      <c r="G97" s="10">
        <v>652.19100000000003</v>
      </c>
      <c r="H97" s="7">
        <v>57592.161275449107</v>
      </c>
      <c r="I97" s="7"/>
      <c r="J97" s="7">
        <v>102.5</v>
      </c>
      <c r="K97" s="7">
        <v>85600.213280482669</v>
      </c>
    </row>
    <row r="98" spans="2:11" s="9" customFormat="1" ht="14.5" x14ac:dyDescent="0.35">
      <c r="B98" s="20">
        <v>2014</v>
      </c>
      <c r="C98" s="14" t="s">
        <v>22</v>
      </c>
      <c r="D98" s="10">
        <v>21956.592000000001</v>
      </c>
      <c r="E98" s="10">
        <v>39178.764000000003</v>
      </c>
      <c r="F98" s="10">
        <v>10230.487568862276</v>
      </c>
      <c r="G98" s="10">
        <v>751.51499999999999</v>
      </c>
      <c r="H98" s="7">
        <v>50160.795568862282</v>
      </c>
      <c r="I98" s="7"/>
      <c r="J98" s="7">
        <v>152.64099999999999</v>
      </c>
      <c r="K98" s="7">
        <v>75756.282797050197</v>
      </c>
    </row>
    <row r="99" spans="2:11" s="9" customFormat="1" ht="14.5" x14ac:dyDescent="0.35">
      <c r="B99" s="20">
        <v>2014</v>
      </c>
      <c r="C99" s="14" t="s">
        <v>23</v>
      </c>
      <c r="D99" s="10">
        <v>23327.190999999999</v>
      </c>
      <c r="E99" s="10">
        <v>47610.657000000007</v>
      </c>
      <c r="F99" s="10">
        <v>12132.998173652697</v>
      </c>
      <c r="G99" s="10">
        <v>0</v>
      </c>
      <c r="H99" s="7">
        <v>59743.698173652701</v>
      </c>
      <c r="I99" s="7"/>
      <c r="J99" s="3">
        <v>126.62</v>
      </c>
      <c r="K99" s="7">
        <v>87797.695554525184</v>
      </c>
    </row>
    <row r="100" spans="2:11" s="9" customFormat="1" ht="14.5" x14ac:dyDescent="0.35">
      <c r="B100" s="20">
        <v>2014</v>
      </c>
      <c r="C100" s="14" t="s">
        <v>24</v>
      </c>
      <c r="D100" s="10">
        <v>26740.260000000002</v>
      </c>
      <c r="E100" s="10">
        <v>50115.962999999996</v>
      </c>
      <c r="F100" s="10">
        <v>17013.902820359282</v>
      </c>
      <c r="G100" s="10">
        <v>0</v>
      </c>
      <c r="H100" s="7">
        <v>67129.904820359283</v>
      </c>
      <c r="I100" s="7"/>
      <c r="J100" s="7">
        <v>148.637</v>
      </c>
      <c r="K100" s="7">
        <v>98965.321741500229</v>
      </c>
    </row>
    <row r="101" spans="2:11" s="9" customFormat="1" ht="14.5" x14ac:dyDescent="0.35">
      <c r="B101" s="20">
        <v>2014</v>
      </c>
      <c r="C101" s="14" t="s">
        <v>25</v>
      </c>
      <c r="D101" s="10">
        <v>29232.982</v>
      </c>
      <c r="E101" s="10">
        <v>52941.73</v>
      </c>
      <c r="F101" s="10">
        <v>10216.273203592815</v>
      </c>
      <c r="G101" s="10">
        <v>0</v>
      </c>
      <c r="H101" s="7">
        <v>63158.003203592816</v>
      </c>
      <c r="I101" s="7"/>
      <c r="J101" s="7">
        <v>94.47</v>
      </c>
      <c r="K101" s="7">
        <v>98617.3298311096</v>
      </c>
    </row>
    <row r="102" spans="2:11" s="9" customFormat="1" ht="14.5" x14ac:dyDescent="0.35">
      <c r="B102" s="20">
        <v>2014</v>
      </c>
      <c r="C102" s="14" t="s">
        <v>26</v>
      </c>
      <c r="D102" s="10">
        <v>29701.728999999999</v>
      </c>
      <c r="E102" s="10">
        <v>49632.807999999997</v>
      </c>
      <c r="F102" s="10">
        <v>11475.259999999998</v>
      </c>
      <c r="G102" s="10">
        <v>125.262</v>
      </c>
      <c r="H102" s="7">
        <v>61233.33</v>
      </c>
      <c r="I102" s="7"/>
      <c r="J102" s="7">
        <v>116.74000000000001</v>
      </c>
      <c r="K102" s="7">
        <v>98095.165333892626</v>
      </c>
    </row>
    <row r="103" spans="2:11" s="9" customFormat="1" ht="14.5" x14ac:dyDescent="0.35">
      <c r="B103" s="20">
        <v>2014</v>
      </c>
      <c r="C103" s="14" t="s">
        <v>27</v>
      </c>
      <c r="D103" s="10">
        <v>32354.197</v>
      </c>
      <c r="E103" s="10">
        <v>56722.903999999995</v>
      </c>
      <c r="F103" s="10">
        <v>13992.288065868264</v>
      </c>
      <c r="G103" s="10">
        <v>0</v>
      </c>
      <c r="H103" s="7">
        <v>70715.192065868265</v>
      </c>
      <c r="I103" s="7"/>
      <c r="J103" s="7">
        <v>48.227999999999994</v>
      </c>
      <c r="K103" s="7">
        <v>109256.3630222441</v>
      </c>
    </row>
    <row r="104" spans="2:11" s="9" customFormat="1" ht="14.5" x14ac:dyDescent="0.35">
      <c r="B104" s="20">
        <v>2014</v>
      </c>
      <c r="C104" s="14" t="s">
        <v>28</v>
      </c>
      <c r="D104" s="10">
        <v>30211.227000000003</v>
      </c>
      <c r="E104" s="10">
        <v>54581.744000000006</v>
      </c>
      <c r="F104" s="10">
        <v>15921.437419161679</v>
      </c>
      <c r="G104" s="10">
        <v>0</v>
      </c>
      <c r="H104" s="7">
        <v>70503.181419161687</v>
      </c>
      <c r="I104" s="7"/>
      <c r="J104" s="7">
        <v>33.555999999999997</v>
      </c>
      <c r="K104" s="7">
        <v>107591.00814734961</v>
      </c>
    </row>
    <row r="105" spans="2:11" s="9" customFormat="1" ht="14.5" x14ac:dyDescent="0.35">
      <c r="B105" s="20">
        <v>2014</v>
      </c>
      <c r="C105" s="14" t="s">
        <v>29</v>
      </c>
      <c r="D105" s="10">
        <v>27761.486000000004</v>
      </c>
      <c r="E105" s="10">
        <v>53417.412000000004</v>
      </c>
      <c r="F105" s="10">
        <v>15572.171353293414</v>
      </c>
      <c r="G105" s="10">
        <v>0</v>
      </c>
      <c r="H105" s="7">
        <v>68989.583353293419</v>
      </c>
      <c r="I105" s="7"/>
      <c r="J105" s="7">
        <v>100.38200000000001</v>
      </c>
      <c r="K105" s="7">
        <v>103762.63237846122</v>
      </c>
    </row>
    <row r="106" spans="2:11" s="9" customFormat="1" ht="14.5" x14ac:dyDescent="0.35">
      <c r="B106" s="20">
        <v>2014</v>
      </c>
      <c r="C106" s="14" t="s">
        <v>30</v>
      </c>
      <c r="D106" s="10">
        <v>26380.526999999995</v>
      </c>
      <c r="E106" s="10">
        <v>53311.953999999998</v>
      </c>
      <c r="F106" s="10">
        <v>12518.612005988025</v>
      </c>
      <c r="G106" s="10">
        <v>0</v>
      </c>
      <c r="H106" s="7">
        <v>65830.566005988017</v>
      </c>
      <c r="I106" s="7"/>
      <c r="J106" s="7">
        <v>198.988</v>
      </c>
      <c r="K106" s="7">
        <v>99104.23478618935</v>
      </c>
    </row>
    <row r="107" spans="2:11" s="9" customFormat="1" ht="14.5" x14ac:dyDescent="0.35">
      <c r="B107" s="20">
        <v>2014</v>
      </c>
      <c r="C107" s="14" t="s">
        <v>31</v>
      </c>
      <c r="D107" s="10">
        <v>23934.449000000004</v>
      </c>
      <c r="E107" s="10">
        <v>51691.519011976052</v>
      </c>
      <c r="F107" s="10">
        <v>10739.126323353292</v>
      </c>
      <c r="G107" s="10">
        <v>0</v>
      </c>
      <c r="H107" s="7">
        <v>62430.645335329347</v>
      </c>
      <c r="I107" s="7"/>
      <c r="J107" s="7">
        <v>49.988999999999997</v>
      </c>
      <c r="K107" s="7">
        <v>91612.072207812569</v>
      </c>
    </row>
    <row r="108" spans="2:11" s="9" customFormat="1" ht="14.5" x14ac:dyDescent="0.35">
      <c r="B108" s="20">
        <v>2014</v>
      </c>
      <c r="C108" s="14" t="s">
        <v>32</v>
      </c>
      <c r="D108" s="10">
        <v>26653.248</v>
      </c>
      <c r="E108" s="10">
        <v>50733.317000000003</v>
      </c>
      <c r="F108" s="10">
        <v>12585.212287425149</v>
      </c>
      <c r="G108" s="10">
        <v>0</v>
      </c>
      <c r="H108" s="7">
        <v>63318.529287425154</v>
      </c>
      <c r="I108" s="7"/>
      <c r="J108" s="7">
        <v>100.467</v>
      </c>
      <c r="K108" s="7">
        <v>94586.321121317771</v>
      </c>
    </row>
    <row r="109" spans="2:11" s="9" customFormat="1" ht="14.5" x14ac:dyDescent="0.35">
      <c r="B109" s="19">
        <v>2014</v>
      </c>
      <c r="C109" s="15" t="s">
        <v>33</v>
      </c>
      <c r="D109" s="17">
        <v>322462.09400000004</v>
      </c>
      <c r="E109" s="17">
        <v>605511.59901197616</v>
      </c>
      <c r="F109" s="17">
        <v>153764.91249700598</v>
      </c>
      <c r="G109" s="17">
        <v>1528.9680000000001</v>
      </c>
      <c r="H109" s="17">
        <v>760805.59050898207</v>
      </c>
      <c r="I109" s="17"/>
      <c r="J109" s="17">
        <v>1273.2180000000001</v>
      </c>
      <c r="K109" s="17">
        <v>1150744.6402019351</v>
      </c>
    </row>
    <row r="110" spans="2:11" s="9" customFormat="1" ht="14.5" x14ac:dyDescent="0.35">
      <c r="B110" s="20">
        <v>2015</v>
      </c>
      <c r="C110" s="14" t="s">
        <v>20</v>
      </c>
      <c r="D110" s="10">
        <v>23214.115999999998</v>
      </c>
      <c r="E110" s="10">
        <v>52631.985999999997</v>
      </c>
      <c r="F110" s="10">
        <v>7714.2748383233529</v>
      </c>
      <c r="G110" s="10">
        <v>0</v>
      </c>
      <c r="H110" s="7">
        <v>60346.260838323353</v>
      </c>
      <c r="I110" s="7"/>
      <c r="J110" s="7">
        <v>40.322000000000003</v>
      </c>
      <c r="K110" s="7">
        <v>88191.344569866982</v>
      </c>
    </row>
    <row r="111" spans="2:11" s="9" customFormat="1" ht="14.5" x14ac:dyDescent="0.35">
      <c r="B111" s="20">
        <v>2015</v>
      </c>
      <c r="C111" s="14" t="s">
        <v>22</v>
      </c>
      <c r="D111" s="10">
        <v>20994.699999999997</v>
      </c>
      <c r="E111" s="10">
        <v>48623.621999999996</v>
      </c>
      <c r="F111" s="10">
        <v>7892.1027065868257</v>
      </c>
      <c r="G111" s="10">
        <v>0</v>
      </c>
      <c r="H111" s="7">
        <v>56515.724706586821</v>
      </c>
      <c r="I111" s="7"/>
      <c r="J111" s="7">
        <v>23.652999999999999</v>
      </c>
      <c r="K111" s="7">
        <v>81952.772805580113</v>
      </c>
    </row>
    <row r="112" spans="2:11" s="9" customFormat="1" ht="14.5" x14ac:dyDescent="0.35">
      <c r="B112" s="20">
        <v>2015</v>
      </c>
      <c r="C112" s="14" t="s">
        <v>23</v>
      </c>
      <c r="D112" s="10">
        <v>24244.122000000003</v>
      </c>
      <c r="E112" s="10">
        <v>54445.481191616767</v>
      </c>
      <c r="F112" s="10">
        <v>8003.3595868263474</v>
      </c>
      <c r="G112" s="10">
        <v>0</v>
      </c>
      <c r="H112" s="7">
        <v>62448.840778443118</v>
      </c>
      <c r="I112" s="7"/>
      <c r="J112" s="3">
        <v>51.165999999999997</v>
      </c>
      <c r="K112" s="7">
        <v>92674.639964684728</v>
      </c>
    </row>
    <row r="113" spans="2:11" s="9" customFormat="1" ht="14.5" x14ac:dyDescent="0.35">
      <c r="B113" s="20">
        <v>2015</v>
      </c>
      <c r="C113" s="14" t="s">
        <v>24</v>
      </c>
      <c r="D113" s="10">
        <v>25762.948</v>
      </c>
      <c r="E113" s="10">
        <v>55344.400999999998</v>
      </c>
      <c r="F113" s="10">
        <v>11265.283023952094</v>
      </c>
      <c r="G113" s="10">
        <v>0</v>
      </c>
      <c r="H113" s="7">
        <v>66609.684023952097</v>
      </c>
      <c r="I113" s="7"/>
      <c r="J113" s="7">
        <v>21.66</v>
      </c>
      <c r="K113" s="7">
        <v>98412.256909858144</v>
      </c>
    </row>
    <row r="114" spans="2:11" s="9" customFormat="1" ht="14.5" x14ac:dyDescent="0.35">
      <c r="B114" s="20">
        <v>2015</v>
      </c>
      <c r="C114" s="14" t="s">
        <v>25</v>
      </c>
      <c r="D114" s="10">
        <v>28453.940999999999</v>
      </c>
      <c r="E114" s="10">
        <v>58423.505000000005</v>
      </c>
      <c r="F114" s="10">
        <v>6163.0471137724553</v>
      </c>
      <c r="G114" s="10">
        <v>0</v>
      </c>
      <c r="H114" s="7">
        <v>64586.552113772457</v>
      </c>
      <c r="I114" s="7"/>
      <c r="J114" s="7">
        <v>704.78</v>
      </c>
      <c r="K114" s="7">
        <v>99524.400383906686</v>
      </c>
    </row>
    <row r="115" spans="2:11" s="9" customFormat="1" ht="14.5" x14ac:dyDescent="0.35">
      <c r="B115" s="20">
        <v>2015</v>
      </c>
      <c r="C115" s="14" t="s">
        <v>26</v>
      </c>
      <c r="D115" s="10">
        <v>29855.842000000001</v>
      </c>
      <c r="E115" s="10">
        <v>57957.524239520957</v>
      </c>
      <c r="F115" s="10">
        <v>6162.2476347305383</v>
      </c>
      <c r="G115" s="10">
        <v>0</v>
      </c>
      <c r="H115" s="7">
        <v>64119.771874251499</v>
      </c>
      <c r="I115" s="7"/>
      <c r="J115" s="7">
        <v>118.761</v>
      </c>
      <c r="K115" s="7">
        <v>101513.00404035889</v>
      </c>
    </row>
    <row r="116" spans="2:11" s="9" customFormat="1" ht="14.5" x14ac:dyDescent="0.35">
      <c r="B116" s="20">
        <v>2015</v>
      </c>
      <c r="C116" s="14" t="s">
        <v>27</v>
      </c>
      <c r="D116" s="10">
        <v>30920.923999999999</v>
      </c>
      <c r="E116" s="10">
        <v>61398.089209580845</v>
      </c>
      <c r="F116" s="10">
        <v>8322.9014730538911</v>
      </c>
      <c r="G116" s="10">
        <v>0</v>
      </c>
      <c r="H116" s="7">
        <v>69720.990682634729</v>
      </c>
      <c r="I116" s="7"/>
      <c r="J116" s="7">
        <v>94.911000000000001</v>
      </c>
      <c r="K116" s="7">
        <v>107810.2272463931</v>
      </c>
    </row>
    <row r="117" spans="2:11" s="9" customFormat="1" ht="14.5" x14ac:dyDescent="0.35">
      <c r="B117" s="20">
        <v>2015</v>
      </c>
      <c r="C117" s="14" t="s">
        <v>28</v>
      </c>
      <c r="D117" s="10">
        <v>30735.22</v>
      </c>
      <c r="E117" s="10">
        <v>61565.07210179641</v>
      </c>
      <c r="F117" s="10">
        <v>13512.328059880238</v>
      </c>
      <c r="G117" s="10">
        <v>0</v>
      </c>
      <c r="H117" s="7">
        <v>75077.400161676647</v>
      </c>
      <c r="I117" s="7"/>
      <c r="J117" s="7">
        <v>80.998999999999995</v>
      </c>
      <c r="K117" s="7">
        <v>113522.73350563637</v>
      </c>
    </row>
    <row r="118" spans="2:11" s="9" customFormat="1" ht="14.5" x14ac:dyDescent="0.35">
      <c r="B118" s="20">
        <v>2015</v>
      </c>
      <c r="C118" s="14" t="s">
        <v>29</v>
      </c>
      <c r="D118" s="10">
        <v>26946.601000000002</v>
      </c>
      <c r="E118" s="10">
        <v>61023.764011976054</v>
      </c>
      <c r="F118" s="10">
        <v>11807.854329341317</v>
      </c>
      <c r="G118" s="10">
        <v>0</v>
      </c>
      <c r="H118" s="7">
        <v>72831.618341317371</v>
      </c>
      <c r="I118" s="7"/>
      <c r="J118" s="7">
        <v>322.916</v>
      </c>
      <c r="K118" s="7">
        <v>107971.45904601537</v>
      </c>
    </row>
    <row r="119" spans="2:11" s="9" customFormat="1" ht="14.5" x14ac:dyDescent="0.35">
      <c r="B119" s="20">
        <v>2015</v>
      </c>
      <c r="C119" s="14" t="s">
        <v>30</v>
      </c>
      <c r="D119" s="10">
        <v>26739.745999999996</v>
      </c>
      <c r="E119" s="10">
        <v>63862.853999999999</v>
      </c>
      <c r="F119" s="10">
        <v>7756.2845029940117</v>
      </c>
      <c r="G119" s="10">
        <v>0</v>
      </c>
      <c r="H119" s="7">
        <v>71619.138502994014</v>
      </c>
      <c r="I119" s="7"/>
      <c r="J119" s="7">
        <v>491.428</v>
      </c>
      <c r="K119" s="7">
        <v>106580.23490064502</v>
      </c>
    </row>
    <row r="120" spans="2:11" s="9" customFormat="1" ht="14.5" x14ac:dyDescent="0.35">
      <c r="B120" s="20">
        <v>2015</v>
      </c>
      <c r="C120" s="14" t="s">
        <v>31</v>
      </c>
      <c r="D120" s="10">
        <v>23926.547999999999</v>
      </c>
      <c r="E120" s="10">
        <v>60253.971011976042</v>
      </c>
      <c r="F120" s="10">
        <v>5141.1791017964069</v>
      </c>
      <c r="G120" s="10">
        <v>0</v>
      </c>
      <c r="H120" s="7">
        <v>65395.150113772448</v>
      </c>
      <c r="I120" s="7"/>
      <c r="J120" s="7">
        <v>859.65500000000009</v>
      </c>
      <c r="K120" s="7">
        <v>95724.581385584519</v>
      </c>
    </row>
    <row r="121" spans="2:11" s="9" customFormat="1" ht="14.5" x14ac:dyDescent="0.35">
      <c r="B121" s="20">
        <v>2015</v>
      </c>
      <c r="C121" s="14" t="s">
        <v>32</v>
      </c>
      <c r="D121" s="10">
        <v>26575.514999999999</v>
      </c>
      <c r="E121" s="10">
        <v>61925.818125748505</v>
      </c>
      <c r="F121" s="10">
        <v>5958.7219401197599</v>
      </c>
      <c r="G121" s="10">
        <v>0</v>
      </c>
      <c r="H121" s="7">
        <v>67884.540065868263</v>
      </c>
      <c r="I121" s="7"/>
      <c r="J121" s="7">
        <v>769.76499999999999</v>
      </c>
      <c r="K121" s="7">
        <v>99622.756512176988</v>
      </c>
    </row>
    <row r="122" spans="2:11" s="9" customFormat="1" ht="14.5" x14ac:dyDescent="0.35">
      <c r="B122" s="19">
        <v>2015</v>
      </c>
      <c r="C122" s="15" t="s">
        <v>33</v>
      </c>
      <c r="D122" s="17">
        <v>318370.223</v>
      </c>
      <c r="E122" s="17">
        <v>697456.08789221558</v>
      </c>
      <c r="F122" s="17">
        <v>99699.584311377243</v>
      </c>
      <c r="G122" s="17">
        <v>0</v>
      </c>
      <c r="H122" s="17">
        <v>797155.67220359272</v>
      </c>
      <c r="I122" s="17"/>
      <c r="J122" s="17">
        <v>3580.0160000000001</v>
      </c>
      <c r="K122" s="17">
        <v>1193500.4112707067</v>
      </c>
    </row>
    <row r="123" spans="2:11" s="9" customFormat="1" ht="14.5" x14ac:dyDescent="0.35">
      <c r="B123" s="20">
        <v>2016</v>
      </c>
      <c r="C123" s="14" t="s">
        <v>20</v>
      </c>
      <c r="D123" s="10">
        <v>36541.26</v>
      </c>
      <c r="E123" s="10">
        <v>167250.72</v>
      </c>
      <c r="F123" s="10">
        <v>5774.85</v>
      </c>
      <c r="G123" s="10">
        <v>0</v>
      </c>
      <c r="H123" s="7">
        <v>173025.57</v>
      </c>
      <c r="I123" s="7"/>
      <c r="J123" s="7">
        <v>2343.12</v>
      </c>
      <c r="K123" s="7">
        <f>D123+E123+F123+J123</f>
        <v>211909.95</v>
      </c>
    </row>
    <row r="124" spans="2:11" s="9" customFormat="1" ht="14.5" x14ac:dyDescent="0.35">
      <c r="B124" s="20">
        <v>2016</v>
      </c>
      <c r="C124" s="14" t="s">
        <v>22</v>
      </c>
      <c r="D124" s="10">
        <v>17670.68</v>
      </c>
      <c r="E124" s="10">
        <v>14771.31</v>
      </c>
      <c r="F124" s="10">
        <v>2673.49</v>
      </c>
      <c r="G124" s="10">
        <v>0</v>
      </c>
      <c r="H124" s="7">
        <f>E124+F124+G124</f>
        <v>17444.8</v>
      </c>
      <c r="I124" s="7"/>
      <c r="J124" s="7">
        <v>403.89</v>
      </c>
      <c r="K124" s="7">
        <f t="shared" ref="K124:K187" si="1">D124+E124+F124+J124</f>
        <v>35519.369999999995</v>
      </c>
    </row>
    <row r="125" spans="2:11" s="9" customFormat="1" ht="14.5" x14ac:dyDescent="0.35">
      <c r="B125" s="20">
        <v>2016</v>
      </c>
      <c r="C125" s="14" t="s">
        <v>23</v>
      </c>
      <c r="D125" s="10">
        <v>21692.78</v>
      </c>
      <c r="E125" s="10">
        <v>30162.87</v>
      </c>
      <c r="F125" s="10">
        <v>3754.24</v>
      </c>
      <c r="G125" s="10">
        <v>0</v>
      </c>
      <c r="H125" s="7">
        <f>E125+F125+G125</f>
        <v>33917.11</v>
      </c>
      <c r="I125" s="7"/>
      <c r="J125" s="3">
        <v>581.91</v>
      </c>
      <c r="K125" s="7">
        <f t="shared" si="1"/>
        <v>56191.799999999996</v>
      </c>
    </row>
    <row r="126" spans="2:11" s="9" customFormat="1" ht="14.5" x14ac:dyDescent="0.35">
      <c r="B126" s="20">
        <v>2016</v>
      </c>
      <c r="C126" s="14" t="s">
        <v>24</v>
      </c>
      <c r="D126" s="10">
        <v>23726.79</v>
      </c>
      <c r="E126" s="10">
        <v>44877.93</v>
      </c>
      <c r="F126" s="10">
        <v>7457.1</v>
      </c>
      <c r="G126" s="10">
        <v>0</v>
      </c>
      <c r="H126" s="7">
        <f t="shared" ref="H126:H134" si="2">E126+F126+G126</f>
        <v>52335.03</v>
      </c>
      <c r="I126" s="7"/>
      <c r="J126" s="7">
        <v>781.74</v>
      </c>
      <c r="K126" s="7">
        <f t="shared" si="1"/>
        <v>76843.560000000012</v>
      </c>
    </row>
    <row r="127" spans="2:11" s="9" customFormat="1" ht="14.5" x14ac:dyDescent="0.35">
      <c r="B127" s="20">
        <v>2016</v>
      </c>
      <c r="C127" s="14" t="s">
        <v>25</v>
      </c>
      <c r="D127" s="10">
        <v>29001.95</v>
      </c>
      <c r="E127" s="10">
        <v>48492.37</v>
      </c>
      <c r="F127" s="10">
        <v>8527.7099999999991</v>
      </c>
      <c r="G127" s="10">
        <v>0</v>
      </c>
      <c r="H127" s="7">
        <f t="shared" si="2"/>
        <v>57020.08</v>
      </c>
      <c r="I127" s="7"/>
      <c r="J127" s="7">
        <v>284.56</v>
      </c>
      <c r="K127" s="7">
        <f t="shared" si="1"/>
        <v>86306.59</v>
      </c>
    </row>
    <row r="128" spans="2:11" s="9" customFormat="1" ht="14.5" x14ac:dyDescent="0.35">
      <c r="B128" s="20">
        <v>2016</v>
      </c>
      <c r="C128" s="14" t="s">
        <v>26</v>
      </c>
      <c r="D128" s="10">
        <v>29471.09</v>
      </c>
      <c r="E128" s="10">
        <v>51007.06</v>
      </c>
      <c r="F128" s="10">
        <v>5366.52</v>
      </c>
      <c r="G128" s="10">
        <v>0</v>
      </c>
      <c r="H128" s="7">
        <f t="shared" si="2"/>
        <v>56373.58</v>
      </c>
      <c r="I128" s="7"/>
      <c r="J128" s="7">
        <v>141.91</v>
      </c>
      <c r="K128" s="7">
        <f t="shared" si="1"/>
        <v>85986.58</v>
      </c>
    </row>
    <row r="129" spans="2:11" s="9" customFormat="1" ht="14.5" x14ac:dyDescent="0.35">
      <c r="B129" s="20">
        <v>2016</v>
      </c>
      <c r="C129" s="14" t="s">
        <v>27</v>
      </c>
      <c r="D129" s="10">
        <v>30178.7</v>
      </c>
      <c r="E129" s="10">
        <v>61301.14</v>
      </c>
      <c r="F129" s="10">
        <v>7170.1</v>
      </c>
      <c r="G129" s="10">
        <v>0</v>
      </c>
      <c r="H129" s="7">
        <f t="shared" si="2"/>
        <v>68471.240000000005</v>
      </c>
      <c r="I129" s="7"/>
      <c r="J129" s="7">
        <v>567.71</v>
      </c>
      <c r="K129" s="7">
        <f t="shared" si="1"/>
        <v>99217.650000000009</v>
      </c>
    </row>
    <row r="130" spans="2:11" s="9" customFormat="1" ht="14.5" x14ac:dyDescent="0.35">
      <c r="B130" s="20">
        <v>2016</v>
      </c>
      <c r="C130" s="14" t="s">
        <v>28</v>
      </c>
      <c r="D130" s="10">
        <v>30891.66</v>
      </c>
      <c r="E130" s="10">
        <v>61991.54</v>
      </c>
      <c r="F130" s="10">
        <v>13348.57</v>
      </c>
      <c r="G130" s="10">
        <v>0</v>
      </c>
      <c r="H130" s="7">
        <f t="shared" si="2"/>
        <v>75340.11</v>
      </c>
      <c r="I130" s="7"/>
      <c r="J130" s="7">
        <v>56.08</v>
      </c>
      <c r="K130" s="7">
        <f t="shared" si="1"/>
        <v>106287.84999999999</v>
      </c>
    </row>
    <row r="131" spans="2:11" s="9" customFormat="1" ht="14.5" x14ac:dyDescent="0.35">
      <c r="B131" s="20">
        <v>2016</v>
      </c>
      <c r="C131" s="14" t="s">
        <v>29</v>
      </c>
      <c r="D131" s="10">
        <v>28876.43</v>
      </c>
      <c r="E131" s="10">
        <v>62243.55</v>
      </c>
      <c r="F131" s="10">
        <v>12104.81</v>
      </c>
      <c r="G131" s="10">
        <v>0</v>
      </c>
      <c r="H131" s="7">
        <f t="shared" si="2"/>
        <v>74348.36</v>
      </c>
      <c r="I131" s="7"/>
      <c r="J131" s="7">
        <v>470.21</v>
      </c>
      <c r="K131" s="7">
        <f t="shared" si="1"/>
        <v>103695.00000000001</v>
      </c>
    </row>
    <row r="132" spans="2:11" s="9" customFormat="1" ht="14.5" x14ac:dyDescent="0.35">
      <c r="B132" s="20">
        <v>2016</v>
      </c>
      <c r="C132" s="14" t="s">
        <v>30</v>
      </c>
      <c r="D132" s="10">
        <v>24981.84</v>
      </c>
      <c r="E132" s="10">
        <v>60014.96</v>
      </c>
      <c r="F132" s="10">
        <v>6386.19</v>
      </c>
      <c r="G132" s="10">
        <v>0</v>
      </c>
      <c r="H132" s="7">
        <f t="shared" si="2"/>
        <v>66401.149999999994</v>
      </c>
      <c r="I132" s="7"/>
      <c r="J132" s="7">
        <v>701.58</v>
      </c>
      <c r="K132" s="7">
        <f t="shared" si="1"/>
        <v>92084.57</v>
      </c>
    </row>
    <row r="133" spans="2:11" s="9" customFormat="1" ht="14.5" x14ac:dyDescent="0.35">
      <c r="B133" s="20">
        <v>2016</v>
      </c>
      <c r="C133" s="14" t="s">
        <v>31</v>
      </c>
      <c r="D133" s="10">
        <v>25326.59</v>
      </c>
      <c r="E133" s="10">
        <v>57402.25</v>
      </c>
      <c r="F133" s="10">
        <v>5386.73</v>
      </c>
      <c r="G133" s="10">
        <v>0</v>
      </c>
      <c r="H133" s="7">
        <f t="shared" si="2"/>
        <v>62788.979999999996</v>
      </c>
      <c r="I133" s="7"/>
      <c r="J133" s="7">
        <v>1027.72</v>
      </c>
      <c r="K133" s="7">
        <f t="shared" si="1"/>
        <v>89143.29</v>
      </c>
    </row>
    <row r="134" spans="2:11" s="9" customFormat="1" ht="14.5" x14ac:dyDescent="0.35">
      <c r="B134" s="20">
        <v>2016</v>
      </c>
      <c r="C134" s="14" t="s">
        <v>32</v>
      </c>
      <c r="D134" s="10">
        <v>26092.16</v>
      </c>
      <c r="E134" s="10">
        <v>71061.64</v>
      </c>
      <c r="F134" s="10">
        <v>4807.41</v>
      </c>
      <c r="G134" s="10">
        <v>0</v>
      </c>
      <c r="H134" s="7">
        <f t="shared" si="2"/>
        <v>75869.05</v>
      </c>
      <c r="I134" s="7"/>
      <c r="J134" s="7">
        <v>836.43</v>
      </c>
      <c r="K134" s="7">
        <f t="shared" si="1"/>
        <v>102797.64</v>
      </c>
    </row>
    <row r="135" spans="2:11" s="9" customFormat="1" ht="14.5" x14ac:dyDescent="0.35">
      <c r="B135" s="19">
        <v>2016</v>
      </c>
      <c r="C135" s="15" t="s">
        <v>33</v>
      </c>
      <c r="D135" s="17">
        <f t="shared" ref="D135:J135" si="3">SUM(D123:D134)</f>
        <v>324451.93000000005</v>
      </c>
      <c r="E135" s="17">
        <f t="shared" si="3"/>
        <v>730577.34</v>
      </c>
      <c r="F135" s="17">
        <f t="shared" si="3"/>
        <v>82757.72</v>
      </c>
      <c r="G135" s="17">
        <f t="shared" si="3"/>
        <v>0</v>
      </c>
      <c r="H135" s="17">
        <f t="shared" si="3"/>
        <v>813335.06</v>
      </c>
      <c r="I135" s="17"/>
      <c r="J135" s="17">
        <f t="shared" si="3"/>
        <v>8196.86</v>
      </c>
      <c r="K135" s="17">
        <f t="shared" si="1"/>
        <v>1145983.8500000001</v>
      </c>
    </row>
    <row r="136" spans="2:11" ht="14.5" x14ac:dyDescent="0.35">
      <c r="B136" s="14">
        <v>2017</v>
      </c>
      <c r="C136" s="14" t="s">
        <v>20</v>
      </c>
      <c r="D136" s="10">
        <v>42872.07</v>
      </c>
      <c r="E136" s="2">
        <v>164022.54</v>
      </c>
      <c r="F136" s="2">
        <v>5249.37</v>
      </c>
      <c r="G136" s="10"/>
      <c r="H136" s="7">
        <f>E136+F136+G136</f>
        <v>169271.91</v>
      </c>
      <c r="I136" s="7"/>
      <c r="J136" s="7">
        <v>1199.17</v>
      </c>
      <c r="K136" s="7">
        <f t="shared" si="1"/>
        <v>213343.15000000002</v>
      </c>
    </row>
    <row r="137" spans="2:11" ht="14.5" x14ac:dyDescent="0.35">
      <c r="B137" s="14">
        <v>2017</v>
      </c>
      <c r="C137" s="14" t="s">
        <v>22</v>
      </c>
      <c r="D137" s="10">
        <v>12121.06</v>
      </c>
      <c r="E137" s="2">
        <v>8989.9500000000007</v>
      </c>
      <c r="F137" s="2">
        <v>2928.04</v>
      </c>
      <c r="G137" s="10"/>
      <c r="H137" s="7">
        <f t="shared" ref="H137:H142" si="4">E137+F137+G137</f>
        <v>11917.990000000002</v>
      </c>
      <c r="I137" s="7"/>
      <c r="J137" s="7">
        <v>1078.1400000000001</v>
      </c>
      <c r="K137" s="7">
        <f t="shared" si="1"/>
        <v>25117.190000000002</v>
      </c>
    </row>
    <row r="138" spans="2:11" ht="14.5" x14ac:dyDescent="0.35">
      <c r="B138" s="14">
        <v>2017</v>
      </c>
      <c r="C138" s="14" t="s">
        <v>23</v>
      </c>
      <c r="D138" s="10">
        <v>16592.48</v>
      </c>
      <c r="E138" s="2">
        <v>17711.25</v>
      </c>
      <c r="F138" s="2">
        <v>4702.38</v>
      </c>
      <c r="G138" s="10"/>
      <c r="H138" s="7">
        <f t="shared" si="4"/>
        <v>22413.63</v>
      </c>
      <c r="I138" s="7"/>
      <c r="J138" s="3">
        <v>748.66</v>
      </c>
      <c r="K138" s="7">
        <f t="shared" si="1"/>
        <v>39754.769999999997</v>
      </c>
    </row>
    <row r="139" spans="2:11" ht="14.5" x14ac:dyDescent="0.35">
      <c r="B139" s="14">
        <v>2017</v>
      </c>
      <c r="C139" s="14" t="s">
        <v>24</v>
      </c>
      <c r="D139" s="10">
        <v>22823.46</v>
      </c>
      <c r="E139" s="2">
        <v>26620.26</v>
      </c>
      <c r="F139" s="2">
        <v>6920.54</v>
      </c>
      <c r="G139" s="10"/>
      <c r="H139" s="7">
        <f t="shared" si="4"/>
        <v>33540.799999999996</v>
      </c>
      <c r="I139" s="7"/>
      <c r="J139" s="7">
        <v>2064.2399999999998</v>
      </c>
      <c r="K139" s="7">
        <f t="shared" si="1"/>
        <v>58428.5</v>
      </c>
    </row>
    <row r="140" spans="2:11" ht="14.5" x14ac:dyDescent="0.35">
      <c r="B140" s="14">
        <v>2017</v>
      </c>
      <c r="C140" s="14" t="s">
        <v>25</v>
      </c>
      <c r="D140" s="10">
        <v>28922.26</v>
      </c>
      <c r="E140" s="2">
        <v>57154.43</v>
      </c>
      <c r="F140" s="2">
        <v>10223.77</v>
      </c>
      <c r="G140" s="10"/>
      <c r="H140" s="7">
        <f t="shared" si="4"/>
        <v>67378.2</v>
      </c>
      <c r="I140" s="7"/>
      <c r="J140" s="7">
        <v>2525.8200000000002</v>
      </c>
      <c r="K140" s="7">
        <f t="shared" si="1"/>
        <v>98826.280000000013</v>
      </c>
    </row>
    <row r="141" spans="2:11" ht="14.5" x14ac:dyDescent="0.35">
      <c r="B141" s="14">
        <v>2017</v>
      </c>
      <c r="C141" s="14" t="s">
        <v>26</v>
      </c>
      <c r="D141" s="10">
        <v>30569.74</v>
      </c>
      <c r="E141" s="2">
        <v>59737.9</v>
      </c>
      <c r="F141" s="2">
        <v>6947.56</v>
      </c>
      <c r="G141" s="10"/>
      <c r="H141" s="7">
        <f t="shared" si="4"/>
        <v>66685.460000000006</v>
      </c>
      <c r="I141" s="7"/>
      <c r="J141" s="7">
        <v>3740.97</v>
      </c>
      <c r="K141" s="7">
        <f t="shared" si="1"/>
        <v>100996.17</v>
      </c>
    </row>
    <row r="142" spans="2:11" ht="14.5" x14ac:dyDescent="0.35">
      <c r="B142" s="14">
        <v>2017</v>
      </c>
      <c r="C142" s="14" t="s">
        <v>27</v>
      </c>
      <c r="D142" s="10">
        <v>29907.3</v>
      </c>
      <c r="E142" s="2">
        <v>52536.79</v>
      </c>
      <c r="F142" s="2">
        <v>7403.53</v>
      </c>
      <c r="G142" s="10"/>
      <c r="H142" s="7">
        <f t="shared" si="4"/>
        <v>59940.32</v>
      </c>
      <c r="I142" s="7"/>
      <c r="J142" s="7">
        <v>51.28</v>
      </c>
      <c r="K142" s="7">
        <f t="shared" si="1"/>
        <v>89898.9</v>
      </c>
    </row>
    <row r="143" spans="2:11" ht="14.5" x14ac:dyDescent="0.35">
      <c r="B143" s="14">
        <v>2017</v>
      </c>
      <c r="C143" s="14" t="s">
        <v>28</v>
      </c>
      <c r="D143" s="10">
        <v>31102.059000000001</v>
      </c>
      <c r="E143" s="2">
        <v>60467.929035928144</v>
      </c>
      <c r="F143" s="2">
        <v>12643.653011976048</v>
      </c>
      <c r="G143" s="10"/>
      <c r="H143" s="7">
        <f>IF(E143+F143+G143&gt;0,E143+F143+G143,"")</f>
        <v>73111.582047904187</v>
      </c>
      <c r="I143" s="7"/>
      <c r="J143" s="7">
        <v>6.649</v>
      </c>
      <c r="K143" s="7">
        <f t="shared" si="1"/>
        <v>104220.29004790419</v>
      </c>
    </row>
    <row r="144" spans="2:11" ht="14.5" x14ac:dyDescent="0.35">
      <c r="B144" s="14">
        <v>2017</v>
      </c>
      <c r="C144" s="14" t="s">
        <v>29</v>
      </c>
      <c r="D144" s="2">
        <v>26130.69</v>
      </c>
      <c r="E144" s="2">
        <v>53543.69</v>
      </c>
      <c r="F144" s="2">
        <v>14298.5</v>
      </c>
      <c r="G144" s="10"/>
      <c r="H144" s="7">
        <f>IF(E144+F144+G144&gt;0,E144+F144+G144,"")</f>
        <v>67842.19</v>
      </c>
      <c r="I144" s="7"/>
      <c r="J144" s="7">
        <v>1</v>
      </c>
      <c r="K144" s="7">
        <f t="shared" si="1"/>
        <v>93973.88</v>
      </c>
    </row>
    <row r="145" spans="2:11" ht="14.5" x14ac:dyDescent="0.35">
      <c r="B145" s="14">
        <v>2017</v>
      </c>
      <c r="C145" s="14" t="s">
        <v>30</v>
      </c>
      <c r="D145" s="2">
        <v>25444.17</v>
      </c>
      <c r="E145" s="2">
        <v>58456.480000000003</v>
      </c>
      <c r="F145" s="2">
        <v>8279.92</v>
      </c>
      <c r="G145" s="10"/>
      <c r="H145" s="7">
        <f>IF(E145+F145+G145&gt;0,E145+F145+G145,"")</f>
        <v>66736.400000000009</v>
      </c>
      <c r="I145" s="7"/>
      <c r="J145" s="7">
        <v>27.18</v>
      </c>
      <c r="K145" s="7">
        <f t="shared" si="1"/>
        <v>92207.749999999985</v>
      </c>
    </row>
    <row r="146" spans="2:11" ht="14.5" x14ac:dyDescent="0.35">
      <c r="B146" s="14">
        <v>2017</v>
      </c>
      <c r="C146" s="14" t="s">
        <v>31</v>
      </c>
      <c r="D146" s="2">
        <v>24131.360000000001</v>
      </c>
      <c r="E146" s="2">
        <v>55409.82</v>
      </c>
      <c r="F146" s="2">
        <v>6371.42</v>
      </c>
      <c r="G146" s="10"/>
      <c r="H146" s="7">
        <f>IF(E146+F146+G146&gt;0,E146+F146+G146,"")</f>
        <v>61781.24</v>
      </c>
      <c r="I146" s="7"/>
      <c r="J146" s="7">
        <v>386.93</v>
      </c>
      <c r="K146" s="7">
        <f t="shared" si="1"/>
        <v>86299.529999999984</v>
      </c>
    </row>
    <row r="147" spans="2:11" ht="14.5" x14ac:dyDescent="0.35">
      <c r="B147" s="14">
        <v>2017</v>
      </c>
      <c r="C147" s="14" t="s">
        <v>32</v>
      </c>
      <c r="D147" s="2">
        <v>80812.62</v>
      </c>
      <c r="E147" s="2">
        <v>56288.62</v>
      </c>
      <c r="F147" s="2">
        <v>4359.6499999999996</v>
      </c>
      <c r="G147" s="10"/>
      <c r="H147" s="7">
        <f>IF(E147+F147+G147&gt;0,E147+F147+G147,"")</f>
        <v>60648.270000000004</v>
      </c>
      <c r="I147" s="7"/>
      <c r="J147" s="7">
        <v>0.32</v>
      </c>
      <c r="K147" s="7">
        <f t="shared" si="1"/>
        <v>141461.21</v>
      </c>
    </row>
    <row r="148" spans="2:11" x14ac:dyDescent="0.3">
      <c r="B148" s="15">
        <v>2017</v>
      </c>
      <c r="C148" s="15" t="s">
        <v>33</v>
      </c>
      <c r="D148" s="17">
        <f t="shared" ref="D148:J148" si="5">SUM(D136:D147)</f>
        <v>371429.26899999997</v>
      </c>
      <c r="E148" s="17">
        <f t="shared" si="5"/>
        <v>670939.6590359282</v>
      </c>
      <c r="F148" s="17">
        <f t="shared" si="5"/>
        <v>90328.333011976036</v>
      </c>
      <c r="G148" s="17">
        <f t="shared" si="5"/>
        <v>0</v>
      </c>
      <c r="H148" s="17">
        <f t="shared" si="5"/>
        <v>761267.99204790418</v>
      </c>
      <c r="I148" s="17"/>
      <c r="J148" s="17">
        <f t="shared" si="5"/>
        <v>11830.359</v>
      </c>
      <c r="K148" s="17">
        <f t="shared" si="1"/>
        <v>1144527.6200479041</v>
      </c>
    </row>
    <row r="149" spans="2:11" ht="14.5" x14ac:dyDescent="0.35">
      <c r="B149" s="14">
        <v>2018</v>
      </c>
      <c r="C149" s="14" t="s">
        <v>20</v>
      </c>
      <c r="D149" s="10">
        <v>3713.39</v>
      </c>
      <c r="E149" s="2">
        <v>56790.37</v>
      </c>
      <c r="F149" s="2">
        <v>4371.84</v>
      </c>
      <c r="G149" s="10"/>
      <c r="H149" s="7">
        <f t="shared" ref="H149:H155" si="6">IF(E149+F149+G149&gt;0,E149+F149+G149,"")</f>
        <v>61162.210000000006</v>
      </c>
      <c r="I149" s="7"/>
      <c r="J149" s="7">
        <v>26.53</v>
      </c>
      <c r="K149" s="7">
        <f t="shared" si="1"/>
        <v>64902.130000000005</v>
      </c>
    </row>
    <row r="150" spans="2:11" ht="14.5" x14ac:dyDescent="0.35">
      <c r="B150" s="14">
        <v>2018</v>
      </c>
      <c r="C150" s="14" t="s">
        <v>22</v>
      </c>
      <c r="D150" s="10">
        <v>10490.63</v>
      </c>
      <c r="E150" s="2">
        <v>63180.02</v>
      </c>
      <c r="F150" s="2">
        <v>3877.19</v>
      </c>
      <c r="G150" s="10"/>
      <c r="H150" s="7">
        <f t="shared" si="6"/>
        <v>67057.209999999992</v>
      </c>
      <c r="I150" s="7"/>
      <c r="J150" s="7">
        <v>0</v>
      </c>
      <c r="K150" s="7">
        <f t="shared" si="1"/>
        <v>77547.839999999997</v>
      </c>
    </row>
    <row r="151" spans="2:11" ht="14.5" x14ac:dyDescent="0.35">
      <c r="B151" s="14">
        <v>2018</v>
      </c>
      <c r="C151" s="14" t="s">
        <v>23</v>
      </c>
      <c r="D151" s="10">
        <v>12647.03</v>
      </c>
      <c r="E151" s="2">
        <v>59036.67</v>
      </c>
      <c r="F151" s="2">
        <v>3991.53</v>
      </c>
      <c r="G151" s="10"/>
      <c r="H151" s="7">
        <f t="shared" si="6"/>
        <v>63028.2</v>
      </c>
      <c r="I151" s="7"/>
      <c r="J151" s="3">
        <v>0</v>
      </c>
      <c r="K151" s="7">
        <f t="shared" si="1"/>
        <v>75675.23</v>
      </c>
    </row>
    <row r="152" spans="2:11" ht="14.5" x14ac:dyDescent="0.35">
      <c r="B152" s="14">
        <v>2018</v>
      </c>
      <c r="C152" s="14" t="s">
        <v>24</v>
      </c>
      <c r="D152" s="10">
        <v>12166.3</v>
      </c>
      <c r="E152" s="2">
        <v>80972.3</v>
      </c>
      <c r="F152" s="2">
        <v>12046.68</v>
      </c>
      <c r="G152" s="10"/>
      <c r="H152" s="7">
        <f t="shared" si="6"/>
        <v>93018.98000000001</v>
      </c>
      <c r="I152" s="7"/>
      <c r="J152" s="7">
        <v>0</v>
      </c>
      <c r="K152" s="7">
        <f t="shared" si="1"/>
        <v>105185.28</v>
      </c>
    </row>
    <row r="153" spans="2:11" ht="14.5" x14ac:dyDescent="0.35">
      <c r="B153" s="14">
        <v>2018</v>
      </c>
      <c r="C153" s="14" t="s">
        <v>25</v>
      </c>
      <c r="D153" s="10">
        <v>26252.06</v>
      </c>
      <c r="E153" s="2">
        <v>42781.66</v>
      </c>
      <c r="F153" s="2">
        <v>7838.87</v>
      </c>
      <c r="G153" s="10"/>
      <c r="H153" s="7">
        <f t="shared" si="6"/>
        <v>50620.530000000006</v>
      </c>
      <c r="I153" s="7"/>
      <c r="J153" s="7">
        <v>0</v>
      </c>
      <c r="K153" s="7">
        <f t="shared" si="1"/>
        <v>76872.59</v>
      </c>
    </row>
    <row r="154" spans="2:11" ht="14.5" x14ac:dyDescent="0.35">
      <c r="B154" s="14">
        <v>2018</v>
      </c>
      <c r="C154" s="14" t="s">
        <v>26</v>
      </c>
      <c r="D154" s="10">
        <v>24052.02</v>
      </c>
      <c r="E154" s="2">
        <v>61483.98</v>
      </c>
      <c r="F154" s="2">
        <v>6338.07</v>
      </c>
      <c r="G154" s="10"/>
      <c r="H154" s="7">
        <f t="shared" si="6"/>
        <v>67822.05</v>
      </c>
      <c r="I154" s="7"/>
      <c r="J154" s="7">
        <v>0</v>
      </c>
      <c r="K154" s="7">
        <f t="shared" si="1"/>
        <v>91874.07</v>
      </c>
    </row>
    <row r="155" spans="2:11" ht="14.5" x14ac:dyDescent="0.35">
      <c r="B155" s="14">
        <v>2018</v>
      </c>
      <c r="C155" s="14" t="s">
        <v>27</v>
      </c>
      <c r="D155" s="10">
        <v>27261.97</v>
      </c>
      <c r="E155" s="2">
        <v>57031.74</v>
      </c>
      <c r="F155" s="2">
        <v>9816.5499999999993</v>
      </c>
      <c r="G155" s="10"/>
      <c r="H155" s="7">
        <f t="shared" si="6"/>
        <v>66848.289999999994</v>
      </c>
      <c r="I155" s="7"/>
      <c r="J155" s="7">
        <v>48.545000000000002</v>
      </c>
      <c r="K155" s="7">
        <f t="shared" si="1"/>
        <v>94158.804999999993</v>
      </c>
    </row>
    <row r="156" spans="2:11" ht="14.5" x14ac:dyDescent="0.35">
      <c r="B156" s="14">
        <v>2018</v>
      </c>
      <c r="C156" s="14" t="s">
        <v>28</v>
      </c>
      <c r="D156" s="10">
        <v>29510.66</v>
      </c>
      <c r="E156" s="2">
        <v>65515.69</v>
      </c>
      <c r="F156" s="2">
        <v>12527.77</v>
      </c>
      <c r="G156" s="10"/>
      <c r="H156" s="7">
        <f>IF(E156+F156+G156&gt;0,E156+F156+G156,"")</f>
        <v>78043.460000000006</v>
      </c>
      <c r="I156" s="7"/>
      <c r="J156" s="7">
        <v>19.975000000000001</v>
      </c>
      <c r="K156" s="7">
        <f t="shared" si="1"/>
        <v>107574.09500000002</v>
      </c>
    </row>
    <row r="157" spans="2:11" ht="14.5" x14ac:dyDescent="0.35">
      <c r="B157" s="14">
        <v>2018</v>
      </c>
      <c r="C157" s="14" t="s">
        <v>29</v>
      </c>
      <c r="D157" s="2">
        <v>23912.87</v>
      </c>
      <c r="E157" s="2">
        <v>56316.03</v>
      </c>
      <c r="F157" s="2">
        <v>8426.7999999999993</v>
      </c>
      <c r="G157" s="10"/>
      <c r="H157" s="7">
        <f>IF(E157+F157+G157&gt;0,E157+F157+G157,"")</f>
        <v>64742.83</v>
      </c>
      <c r="I157" s="7"/>
      <c r="J157" s="7">
        <v>24.004999999999999</v>
      </c>
      <c r="K157" s="7">
        <f t="shared" si="1"/>
        <v>88679.705000000002</v>
      </c>
    </row>
    <row r="158" spans="2:11" ht="14.5" x14ac:dyDescent="0.35">
      <c r="B158" s="14">
        <v>2018</v>
      </c>
      <c r="C158" s="14" t="s">
        <v>30</v>
      </c>
      <c r="D158" s="2">
        <v>24112.17</v>
      </c>
      <c r="E158" s="2">
        <v>59648.12</v>
      </c>
      <c r="F158" s="2">
        <v>5999.38</v>
      </c>
      <c r="G158" s="10"/>
      <c r="H158" s="7">
        <f>IF(E158+F158+G158&gt;0,E158+F158+G158,"")</f>
        <v>65647.5</v>
      </c>
      <c r="I158" s="7"/>
      <c r="J158" s="7">
        <v>49.92</v>
      </c>
      <c r="K158" s="7">
        <f t="shared" si="1"/>
        <v>89809.590000000011</v>
      </c>
    </row>
    <row r="159" spans="2:11" ht="14.5" x14ac:dyDescent="0.35">
      <c r="B159" s="14">
        <v>2018</v>
      </c>
      <c r="C159" s="14" t="s">
        <v>31</v>
      </c>
      <c r="D159" s="2">
        <v>22595.9</v>
      </c>
      <c r="E159" s="2">
        <v>60749.85</v>
      </c>
      <c r="F159" s="2">
        <v>5484.95</v>
      </c>
      <c r="G159" s="10"/>
      <c r="H159" s="7">
        <f>IF(E159+F159+G159&gt;0,E159+F159+G159,"")</f>
        <v>66234.8</v>
      </c>
      <c r="I159" s="7"/>
      <c r="J159" s="7">
        <v>62.670999999999999</v>
      </c>
      <c r="K159" s="7">
        <f t="shared" si="1"/>
        <v>88893.370999999999</v>
      </c>
    </row>
    <row r="160" spans="2:11" ht="14.5" x14ac:dyDescent="0.35">
      <c r="B160" s="14">
        <v>2018</v>
      </c>
      <c r="C160" s="14" t="s">
        <v>32</v>
      </c>
      <c r="D160" s="2">
        <v>33116.129999999997</v>
      </c>
      <c r="E160" s="2">
        <v>59786.31</v>
      </c>
      <c r="F160" s="2">
        <v>4267.07</v>
      </c>
      <c r="G160" s="10"/>
      <c r="H160" s="7">
        <f>IF(E160+F160+G160&gt;0,E160+F160+G160,"")</f>
        <v>64053.38</v>
      </c>
      <c r="I160" s="7"/>
      <c r="J160" s="7">
        <v>129.91</v>
      </c>
      <c r="K160" s="7">
        <f t="shared" si="1"/>
        <v>97299.420000000013</v>
      </c>
    </row>
    <row r="161" spans="2:11" x14ac:dyDescent="0.3">
      <c r="B161" s="15">
        <v>2018</v>
      </c>
      <c r="C161" s="15" t="s">
        <v>33</v>
      </c>
      <c r="D161" s="17">
        <f t="shared" ref="D161:J161" si="7">SUM(D149:D160)</f>
        <v>249831.12999999998</v>
      </c>
      <c r="E161" s="17">
        <f t="shared" si="7"/>
        <v>723292.74</v>
      </c>
      <c r="F161" s="17">
        <f t="shared" si="7"/>
        <v>84986.700000000012</v>
      </c>
      <c r="G161" s="17">
        <f t="shared" si="7"/>
        <v>0</v>
      </c>
      <c r="H161" s="17">
        <f t="shared" si="7"/>
        <v>808279.44</v>
      </c>
      <c r="I161" s="17"/>
      <c r="J161" s="17">
        <f t="shared" si="7"/>
        <v>361.55600000000004</v>
      </c>
      <c r="K161" s="17">
        <f t="shared" si="1"/>
        <v>1058472.1260000002</v>
      </c>
    </row>
    <row r="162" spans="2:11" ht="14.5" x14ac:dyDescent="0.35">
      <c r="B162" s="14">
        <v>2019</v>
      </c>
      <c r="C162" s="14" t="s">
        <v>20</v>
      </c>
      <c r="D162" s="10">
        <v>17135.91</v>
      </c>
      <c r="E162" s="2">
        <v>62362.66</v>
      </c>
      <c r="F162" s="2">
        <v>4297.62</v>
      </c>
      <c r="G162" s="10"/>
      <c r="H162" s="7">
        <f>IF(E162+F162+G162&gt;0,E162+F162+G162,"")</f>
        <v>66660.28</v>
      </c>
      <c r="I162" s="7"/>
      <c r="J162" s="7">
        <v>299.75</v>
      </c>
      <c r="K162" s="7">
        <f t="shared" si="1"/>
        <v>84095.94</v>
      </c>
    </row>
    <row r="163" spans="2:11" ht="14.5" x14ac:dyDescent="0.35">
      <c r="B163" s="14">
        <v>2019</v>
      </c>
      <c r="C163" s="14" t="s">
        <v>22</v>
      </c>
      <c r="D163" s="10">
        <v>16860.89</v>
      </c>
      <c r="E163" s="2">
        <v>60500.54</v>
      </c>
      <c r="F163" s="2">
        <v>3182.07</v>
      </c>
      <c r="G163" s="10"/>
      <c r="H163" s="7">
        <f t="shared" ref="H163:H168" si="8">IF(E163+F163+G163&gt;0,E163+F163+G163,"")</f>
        <v>63682.61</v>
      </c>
      <c r="I163" s="7"/>
      <c r="J163" s="7">
        <v>0</v>
      </c>
      <c r="K163" s="7">
        <f t="shared" si="1"/>
        <v>80543.5</v>
      </c>
    </row>
    <row r="164" spans="2:11" ht="14.5" x14ac:dyDescent="0.35">
      <c r="B164" s="14">
        <v>2019</v>
      </c>
      <c r="C164" s="14" t="s">
        <v>23</v>
      </c>
      <c r="D164" s="10">
        <v>37761.949999999997</v>
      </c>
      <c r="E164" s="2">
        <v>109211.62</v>
      </c>
      <c r="F164" s="2">
        <v>14705.03</v>
      </c>
      <c r="G164" s="10"/>
      <c r="H164" s="7">
        <f t="shared" si="8"/>
        <v>123916.65</v>
      </c>
      <c r="I164" s="7"/>
      <c r="J164" s="3">
        <v>103.79</v>
      </c>
      <c r="K164" s="7">
        <f t="shared" si="1"/>
        <v>161782.39000000001</v>
      </c>
    </row>
    <row r="165" spans="2:11" ht="14.5" x14ac:dyDescent="0.35">
      <c r="B165" s="14">
        <v>2019</v>
      </c>
      <c r="C165" s="14" t="s">
        <v>24</v>
      </c>
      <c r="D165" s="10">
        <v>14666.41</v>
      </c>
      <c r="E165" s="2">
        <v>23527.56</v>
      </c>
      <c r="F165" s="2">
        <v>2010.08</v>
      </c>
      <c r="G165" s="10"/>
      <c r="H165" s="7">
        <f t="shared" si="8"/>
        <v>25537.64</v>
      </c>
      <c r="I165" s="7"/>
      <c r="J165" s="7">
        <v>20.010000000000002</v>
      </c>
      <c r="K165" s="7">
        <f t="shared" si="1"/>
        <v>40224.060000000005</v>
      </c>
    </row>
    <row r="166" spans="2:11" ht="14.5" x14ac:dyDescent="0.35">
      <c r="B166" s="14">
        <v>2019</v>
      </c>
      <c r="C166" s="14" t="s">
        <v>25</v>
      </c>
      <c r="D166" s="10">
        <v>22677.47</v>
      </c>
      <c r="E166" s="2">
        <v>54421.21</v>
      </c>
      <c r="F166" s="2">
        <v>5738.81</v>
      </c>
      <c r="G166" s="10"/>
      <c r="H166" s="7">
        <f t="shared" si="8"/>
        <v>60160.02</v>
      </c>
      <c r="I166" s="7"/>
      <c r="J166" s="7">
        <v>119.76</v>
      </c>
      <c r="K166" s="7">
        <f t="shared" si="1"/>
        <v>82957.249999999985</v>
      </c>
    </row>
    <row r="167" spans="2:11" ht="14.5" x14ac:dyDescent="0.35">
      <c r="B167" s="14">
        <v>2019</v>
      </c>
      <c r="C167" s="14" t="s">
        <v>26</v>
      </c>
      <c r="D167" s="10">
        <v>26424.92</v>
      </c>
      <c r="E167" s="2">
        <v>62080.79</v>
      </c>
      <c r="F167" s="2">
        <v>6391.51</v>
      </c>
      <c r="G167" s="10"/>
      <c r="H167" s="7">
        <f t="shared" si="8"/>
        <v>68472.3</v>
      </c>
      <c r="I167" s="7"/>
      <c r="J167" s="7">
        <v>0</v>
      </c>
      <c r="K167" s="7">
        <f t="shared" si="1"/>
        <v>94897.219999999987</v>
      </c>
    </row>
    <row r="168" spans="2:11" ht="14.5" x14ac:dyDescent="0.35">
      <c r="B168" s="14">
        <v>2019</v>
      </c>
      <c r="C168" s="14" t="s">
        <v>27</v>
      </c>
      <c r="D168" s="10">
        <v>28380.33</v>
      </c>
      <c r="E168" s="2">
        <v>63592.22</v>
      </c>
      <c r="F168" s="2">
        <v>9335.2800000000007</v>
      </c>
      <c r="G168" s="10"/>
      <c r="H168" s="7">
        <f t="shared" si="8"/>
        <v>72927.5</v>
      </c>
      <c r="I168" s="7"/>
      <c r="J168" s="7">
        <v>0</v>
      </c>
      <c r="K168" s="7">
        <f t="shared" si="1"/>
        <v>101307.83</v>
      </c>
    </row>
    <row r="169" spans="2:11" ht="14.5" x14ac:dyDescent="0.35">
      <c r="B169" s="14">
        <v>2019</v>
      </c>
      <c r="C169" s="14" t="s">
        <v>28</v>
      </c>
      <c r="D169" s="10">
        <v>28086</v>
      </c>
      <c r="E169" s="2">
        <v>65413.95</v>
      </c>
      <c r="F169" s="2">
        <v>15960.63</v>
      </c>
      <c r="G169" s="10"/>
      <c r="H169" s="7">
        <f>IF(E169+F169+G169&gt;0,E169+F169+G169,"")</f>
        <v>81374.58</v>
      </c>
      <c r="I169" s="7"/>
      <c r="J169" s="7">
        <v>19.98</v>
      </c>
      <c r="K169" s="7">
        <f t="shared" si="1"/>
        <v>109480.56</v>
      </c>
    </row>
    <row r="170" spans="2:11" ht="14.5" x14ac:dyDescent="0.35">
      <c r="B170" s="14">
        <v>2019</v>
      </c>
      <c r="C170" s="14" t="s">
        <v>29</v>
      </c>
      <c r="D170" s="2">
        <v>24226.05</v>
      </c>
      <c r="E170" s="2">
        <v>63346.82</v>
      </c>
      <c r="F170" s="2">
        <v>9057.02</v>
      </c>
      <c r="G170" s="10"/>
      <c r="H170" s="7">
        <f>IF(E170+F170+G170&gt;0,E170+F170+G170,"")</f>
        <v>72403.839999999997</v>
      </c>
      <c r="I170" s="7"/>
      <c r="J170" s="7">
        <v>19.989999999999998</v>
      </c>
      <c r="K170" s="7">
        <f t="shared" si="1"/>
        <v>96649.88</v>
      </c>
    </row>
    <row r="171" spans="2:11" ht="14.5" x14ac:dyDescent="0.35">
      <c r="B171" s="14">
        <v>2019</v>
      </c>
      <c r="C171" s="14" t="s">
        <v>30</v>
      </c>
      <c r="D171" s="2">
        <v>23836.51</v>
      </c>
      <c r="E171" s="2">
        <v>62438.400000000001</v>
      </c>
      <c r="F171" s="2">
        <v>6168.34</v>
      </c>
      <c r="G171" s="10"/>
      <c r="H171" s="7">
        <f>IF(E171+F171+G171&gt;0,E171+F171+G171,"")</f>
        <v>68606.740000000005</v>
      </c>
      <c r="I171" s="7"/>
      <c r="J171" s="7">
        <v>0</v>
      </c>
      <c r="K171" s="7">
        <f t="shared" si="1"/>
        <v>92443.25</v>
      </c>
    </row>
    <row r="172" spans="2:11" ht="14.5" x14ac:dyDescent="0.35">
      <c r="B172" s="14">
        <v>2019</v>
      </c>
      <c r="C172" s="14" t="s">
        <v>31</v>
      </c>
      <c r="D172" s="2">
        <v>21932.44</v>
      </c>
      <c r="E172" s="2">
        <v>59336.69</v>
      </c>
      <c r="F172" s="2">
        <v>4832.28</v>
      </c>
      <c r="G172" s="10"/>
      <c r="H172" s="7">
        <f>IF(E172+F172+G172&gt;0,E172+F172+G172,"")</f>
        <v>64168.97</v>
      </c>
      <c r="I172" s="7"/>
      <c r="J172" s="7">
        <v>20</v>
      </c>
      <c r="K172" s="7">
        <f t="shared" si="1"/>
        <v>86121.41</v>
      </c>
    </row>
    <row r="173" spans="2:11" ht="14.5" x14ac:dyDescent="0.35">
      <c r="B173" s="14">
        <v>2019</v>
      </c>
      <c r="C173" s="14" t="s">
        <v>32</v>
      </c>
      <c r="D173" s="2">
        <v>41002.69</v>
      </c>
      <c r="E173" s="2">
        <v>172510.84</v>
      </c>
      <c r="F173" s="2">
        <v>7451.48</v>
      </c>
      <c r="G173" s="10"/>
      <c r="H173" s="7">
        <f>IF(E173+F173+G173&gt;0,E173+F173+G173,"")</f>
        <v>179962.32</v>
      </c>
      <c r="I173" s="7"/>
      <c r="J173" s="7">
        <v>19.989999999999998</v>
      </c>
      <c r="K173" s="7">
        <f t="shared" si="1"/>
        <v>220985</v>
      </c>
    </row>
    <row r="174" spans="2:11" x14ac:dyDescent="0.3">
      <c r="B174" s="15">
        <v>2019</v>
      </c>
      <c r="C174" s="15" t="s">
        <v>33</v>
      </c>
      <c r="D174" s="17">
        <f t="shared" ref="D174:J174" si="9">SUM(D162:D173)</f>
        <v>302991.57</v>
      </c>
      <c r="E174" s="17">
        <f t="shared" si="9"/>
        <v>858743.29999999993</v>
      </c>
      <c r="F174" s="17">
        <f t="shared" si="9"/>
        <v>89130.15</v>
      </c>
      <c r="G174" s="17">
        <f t="shared" si="9"/>
        <v>0</v>
      </c>
      <c r="H174" s="17">
        <f t="shared" si="9"/>
        <v>947873.45</v>
      </c>
      <c r="I174" s="17"/>
      <c r="J174" s="17">
        <f t="shared" si="9"/>
        <v>623.2700000000001</v>
      </c>
      <c r="K174" s="17">
        <f t="shared" si="1"/>
        <v>1251488.2899999998</v>
      </c>
    </row>
    <row r="175" spans="2:11" ht="14.5" x14ac:dyDescent="0.35">
      <c r="B175" s="14">
        <v>2020</v>
      </c>
      <c r="C175" s="14" t="s">
        <v>20</v>
      </c>
      <c r="D175" s="10">
        <v>9674.18</v>
      </c>
      <c r="E175" s="2">
        <v>10966.618550898203</v>
      </c>
      <c r="F175" s="2">
        <v>1719.31</v>
      </c>
      <c r="G175" s="10"/>
      <c r="H175" s="7">
        <f>IF(E175+F175+G175&gt;0,E175+F175+G175,"")</f>
        <v>12685.928550898203</v>
      </c>
      <c r="I175" s="7"/>
      <c r="J175" s="7">
        <v>24.92</v>
      </c>
      <c r="K175" s="7">
        <f t="shared" si="1"/>
        <v>22385.028550898202</v>
      </c>
    </row>
    <row r="176" spans="2:11" ht="14.5" x14ac:dyDescent="0.35">
      <c r="B176" s="14">
        <v>2020</v>
      </c>
      <c r="C176" s="14" t="s">
        <v>22</v>
      </c>
      <c r="D176" s="10">
        <v>14335.69</v>
      </c>
      <c r="E176" s="2">
        <v>15177.509047904192</v>
      </c>
      <c r="F176" s="2">
        <v>2191.14</v>
      </c>
      <c r="G176" s="10"/>
      <c r="H176" s="7">
        <f t="shared" ref="H176:H181" si="10">IF(E176+F176+G176&gt;0,E176+F176+G176,"")</f>
        <v>17368.649047904193</v>
      </c>
      <c r="I176" s="7"/>
      <c r="J176" s="7">
        <v>49.68</v>
      </c>
      <c r="K176" s="7">
        <f t="shared" si="1"/>
        <v>31754.019047904192</v>
      </c>
    </row>
    <row r="177" spans="2:11" ht="14.5" x14ac:dyDescent="0.35">
      <c r="B177" s="14">
        <v>2020</v>
      </c>
      <c r="C177" s="14" t="s">
        <v>23</v>
      </c>
      <c r="D177" s="10">
        <v>18119.310000000001</v>
      </c>
      <c r="E177" s="2">
        <v>28030.859868263473</v>
      </c>
      <c r="F177" s="2">
        <v>7247.05</v>
      </c>
      <c r="G177" s="10"/>
      <c r="H177" s="7">
        <f t="shared" si="10"/>
        <v>35277.909868263472</v>
      </c>
      <c r="I177" s="7"/>
      <c r="J177" s="3">
        <v>100.35</v>
      </c>
      <c r="K177" s="7">
        <f t="shared" si="1"/>
        <v>53497.569868263476</v>
      </c>
    </row>
    <row r="178" spans="2:11" ht="14.5" x14ac:dyDescent="0.35">
      <c r="B178" s="14">
        <v>2020</v>
      </c>
      <c r="C178" s="14" t="s">
        <v>24</v>
      </c>
      <c r="D178" s="10">
        <v>16205.3</v>
      </c>
      <c r="E178" s="2">
        <v>43373.18</v>
      </c>
      <c r="F178" s="2">
        <v>8617.99</v>
      </c>
      <c r="G178" s="10"/>
      <c r="H178" s="7">
        <f t="shared" si="10"/>
        <v>51991.17</v>
      </c>
      <c r="I178" s="7"/>
      <c r="J178" s="7">
        <v>0</v>
      </c>
      <c r="K178" s="7">
        <f t="shared" si="1"/>
        <v>68196.47</v>
      </c>
    </row>
    <row r="179" spans="2:11" ht="14.5" x14ac:dyDescent="0.35">
      <c r="B179" s="14">
        <v>2020</v>
      </c>
      <c r="C179" s="14" t="s">
        <v>25</v>
      </c>
      <c r="D179" s="10">
        <v>24224.47</v>
      </c>
      <c r="E179" s="2">
        <v>70960.583257485021</v>
      </c>
      <c r="F179" s="2">
        <v>11338.07</v>
      </c>
      <c r="G179" s="10"/>
      <c r="H179" s="7">
        <f t="shared" si="10"/>
        <v>82298.653257485013</v>
      </c>
      <c r="I179" s="7"/>
      <c r="J179" s="7">
        <v>0</v>
      </c>
      <c r="K179" s="7">
        <f t="shared" si="1"/>
        <v>106523.12325748501</v>
      </c>
    </row>
    <row r="180" spans="2:11" ht="14.5" x14ac:dyDescent="0.35">
      <c r="B180" s="14">
        <v>2020</v>
      </c>
      <c r="C180" s="14" t="s">
        <v>26</v>
      </c>
      <c r="D180" s="10">
        <v>26757.23</v>
      </c>
      <c r="E180" s="2">
        <v>64356.89928143713</v>
      </c>
      <c r="F180" s="2">
        <v>6803.55</v>
      </c>
      <c r="G180" s="10"/>
      <c r="H180" s="7">
        <f t="shared" si="10"/>
        <v>71160.449281437133</v>
      </c>
      <c r="I180" s="7"/>
      <c r="J180" s="7">
        <v>0</v>
      </c>
      <c r="K180" s="7">
        <f t="shared" si="1"/>
        <v>97917.679281437129</v>
      </c>
    </row>
    <row r="181" spans="2:11" ht="14.5" x14ac:dyDescent="0.35">
      <c r="B181" s="14">
        <v>2020</v>
      </c>
      <c r="C181" s="14" t="s">
        <v>27</v>
      </c>
      <c r="D181" s="10">
        <v>28141.54</v>
      </c>
      <c r="E181" s="2">
        <v>68901.186389221562</v>
      </c>
      <c r="F181" s="2">
        <v>9237.6299999999992</v>
      </c>
      <c r="G181" s="10"/>
      <c r="H181" s="7">
        <f t="shared" si="10"/>
        <v>78138.816389221567</v>
      </c>
      <c r="I181" s="7"/>
      <c r="J181" s="7">
        <v>9.73</v>
      </c>
      <c r="K181" s="7">
        <f t="shared" si="1"/>
        <v>106290.08638922156</v>
      </c>
    </row>
    <row r="182" spans="2:11" ht="14.5" x14ac:dyDescent="0.35">
      <c r="B182" s="14">
        <v>2020</v>
      </c>
      <c r="C182" s="14" t="s">
        <v>28</v>
      </c>
      <c r="D182" s="10">
        <v>29387.64</v>
      </c>
      <c r="E182" s="2">
        <v>71151.92</v>
      </c>
      <c r="F182" s="2">
        <v>15737.55</v>
      </c>
      <c r="G182" s="10"/>
      <c r="H182" s="7">
        <f>IF(E182+F182+G182&gt;0,E182+F182+G182,"")</f>
        <v>86889.47</v>
      </c>
      <c r="I182" s="7"/>
      <c r="J182" s="7">
        <v>34.71</v>
      </c>
      <c r="K182" s="7">
        <f t="shared" si="1"/>
        <v>116311.82</v>
      </c>
    </row>
    <row r="183" spans="2:11" ht="14.5" x14ac:dyDescent="0.35">
      <c r="B183" s="14">
        <v>2020</v>
      </c>
      <c r="C183" s="14" t="s">
        <v>29</v>
      </c>
      <c r="D183" s="2">
        <v>25816.21</v>
      </c>
      <c r="E183" s="2">
        <v>70087.913155688628</v>
      </c>
      <c r="F183" s="2">
        <v>13454.52</v>
      </c>
      <c r="G183" s="10"/>
      <c r="H183" s="7">
        <f>IF(E183+F183+G183&gt;0,E183+F183+G183,"")</f>
        <v>83542.433155688632</v>
      </c>
      <c r="I183" s="7"/>
      <c r="J183" s="7">
        <v>84.85</v>
      </c>
      <c r="K183" s="7">
        <f t="shared" si="1"/>
        <v>109443.49315568864</v>
      </c>
    </row>
    <row r="184" spans="2:11" ht="14.5" x14ac:dyDescent="0.35">
      <c r="B184" s="14">
        <v>2020</v>
      </c>
      <c r="C184" s="14" t="s">
        <v>30</v>
      </c>
      <c r="D184" s="2">
        <v>23415.724999999999</v>
      </c>
      <c r="E184" s="2">
        <v>69261.824742514975</v>
      </c>
      <c r="F184" s="2">
        <v>7232.6890000000003</v>
      </c>
      <c r="G184" s="10"/>
      <c r="H184" s="7">
        <f>IF(E184+F184+G184&gt;0,E184+F184+G184,"")</f>
        <v>76494.513742514973</v>
      </c>
      <c r="I184" s="7"/>
      <c r="J184" s="7">
        <v>27.172999999999998</v>
      </c>
      <c r="K184" s="7">
        <f t="shared" si="1"/>
        <v>99937.41174251496</v>
      </c>
    </row>
    <row r="185" spans="2:11" ht="14.5" x14ac:dyDescent="0.35">
      <c r="B185" s="14">
        <v>2020</v>
      </c>
      <c r="C185" s="14" t="s">
        <v>31</v>
      </c>
      <c r="D185" s="2">
        <v>21631.977000000003</v>
      </c>
      <c r="E185" s="2">
        <v>67624.036796407192</v>
      </c>
      <c r="F185" s="2">
        <v>5960.6270000000004</v>
      </c>
      <c r="G185" s="10"/>
      <c r="H185" s="7">
        <f>IF(E185+F185+G185&gt;0,E185+F185+G185,"")</f>
        <v>73584.6637964072</v>
      </c>
      <c r="I185" s="7"/>
      <c r="J185" s="7">
        <v>79.448000000000008</v>
      </c>
      <c r="K185" s="7">
        <f t="shared" si="1"/>
        <v>95296.088796407188</v>
      </c>
    </row>
    <row r="186" spans="2:11" ht="14.5" x14ac:dyDescent="0.35">
      <c r="B186" s="14">
        <v>2020</v>
      </c>
      <c r="C186" s="14" t="s">
        <v>32</v>
      </c>
      <c r="D186" s="2">
        <v>21812.622000000003</v>
      </c>
      <c r="E186" s="2">
        <v>70642.008964071865</v>
      </c>
      <c r="F186" s="2">
        <v>7935.6100000000006</v>
      </c>
      <c r="G186" s="10"/>
      <c r="H186" s="7">
        <f>IF(E186+F186+G186&gt;0,E186+F186+G186,"")</f>
        <v>78577.618964071866</v>
      </c>
      <c r="I186" s="7"/>
      <c r="J186" s="7">
        <v>112.598</v>
      </c>
      <c r="K186" s="7">
        <f t="shared" si="1"/>
        <v>100502.83896407187</v>
      </c>
    </row>
    <row r="187" spans="2:11" x14ac:dyDescent="0.3">
      <c r="B187" s="15">
        <v>2020</v>
      </c>
      <c r="C187" s="15" t="s">
        <v>33</v>
      </c>
      <c r="D187" s="17">
        <f t="shared" ref="D187:J187" si="11">SUM(D175:D186)</f>
        <v>259521.894</v>
      </c>
      <c r="E187" s="17">
        <f t="shared" si="11"/>
        <v>650534.5400538923</v>
      </c>
      <c r="F187" s="17">
        <f t="shared" si="11"/>
        <v>97475.73599999999</v>
      </c>
      <c r="G187" s="17">
        <f t="shared" si="11"/>
        <v>0</v>
      </c>
      <c r="H187" s="17">
        <f t="shared" si="11"/>
        <v>748010.27605389222</v>
      </c>
      <c r="I187" s="17"/>
      <c r="J187" s="17">
        <f t="shared" si="11"/>
        <v>523.45899999999995</v>
      </c>
      <c r="K187" s="17">
        <f t="shared" si="1"/>
        <v>1008055.6290538923</v>
      </c>
    </row>
    <row r="188" spans="2:11" ht="14.5" x14ac:dyDescent="0.35">
      <c r="B188" s="14">
        <v>2021</v>
      </c>
      <c r="C188" s="14" t="s">
        <v>20</v>
      </c>
      <c r="D188" s="2">
        <v>19289.753000000001</v>
      </c>
      <c r="E188" s="2">
        <v>61573.732407185627</v>
      </c>
      <c r="F188" s="2">
        <v>4950.1688083832332</v>
      </c>
      <c r="G188" s="10"/>
      <c r="H188" s="7">
        <f>IF(E188+F188+G188&gt;0,E188+F188+G188,"")</f>
        <v>66523.901215568854</v>
      </c>
      <c r="I188" s="7"/>
      <c r="J188" s="82">
        <v>53.908000000000001</v>
      </c>
      <c r="K188" s="7">
        <f t="shared" ref="K188:K238" si="12">D188+E188+F188+J188</f>
        <v>85867.562215568847</v>
      </c>
    </row>
    <row r="189" spans="2:11" ht="14.5" x14ac:dyDescent="0.35">
      <c r="B189" s="14">
        <v>2021</v>
      </c>
      <c r="C189" s="14" t="s">
        <v>22</v>
      </c>
      <c r="D189" s="10">
        <v>19981.434000000001</v>
      </c>
      <c r="E189" s="2">
        <v>64925.135652694611</v>
      </c>
      <c r="F189" s="2">
        <v>4716.034359281437</v>
      </c>
      <c r="G189" s="10"/>
      <c r="H189" s="7">
        <f t="shared" ref="H189:H194" si="13">IF(E189+F189+G189&gt;0,E189+F189+G189,"")</f>
        <v>69641.17001197605</v>
      </c>
      <c r="I189" s="7"/>
      <c r="J189" s="7">
        <v>84.009</v>
      </c>
      <c r="K189" s="7">
        <f t="shared" si="12"/>
        <v>89706.613011976049</v>
      </c>
    </row>
    <row r="190" spans="2:11" ht="14.5" x14ac:dyDescent="0.35">
      <c r="B190" s="14">
        <v>2021</v>
      </c>
      <c r="C190" s="14" t="s">
        <v>23</v>
      </c>
      <c r="D190" s="10">
        <v>18078.623</v>
      </c>
      <c r="E190" s="2">
        <v>63295.964479041919</v>
      </c>
      <c r="F190" s="2">
        <v>4897.5741976047902</v>
      </c>
      <c r="G190" s="10"/>
      <c r="H190" s="7">
        <f>IF(E190+F190+G190&gt;0,E190+F190+G190,"")</f>
        <v>68193.538676646713</v>
      </c>
      <c r="I190" s="7"/>
      <c r="J190" s="3">
        <v>54.244999999999997</v>
      </c>
      <c r="K190" s="7">
        <f t="shared" si="12"/>
        <v>86326.4066766467</v>
      </c>
    </row>
    <row r="191" spans="2:11" ht="14.5" x14ac:dyDescent="0.35">
      <c r="B191" s="14">
        <v>2021</v>
      </c>
      <c r="C191" s="14" t="s">
        <v>24</v>
      </c>
      <c r="D191" s="10">
        <v>20261.133684563756</v>
      </c>
      <c r="E191" s="2">
        <v>64120.617455089829</v>
      </c>
      <c r="F191" s="2">
        <v>10233.129161676647</v>
      </c>
      <c r="G191" s="10"/>
      <c r="H191" s="7">
        <f t="shared" si="13"/>
        <v>74353.746616766468</v>
      </c>
      <c r="I191" s="7"/>
      <c r="J191" s="7">
        <v>23.984999999999999</v>
      </c>
      <c r="K191" s="7">
        <f t="shared" si="12"/>
        <v>94638.865301330239</v>
      </c>
    </row>
    <row r="192" spans="2:11" ht="14.5" x14ac:dyDescent="0.35">
      <c r="B192" s="14">
        <v>2021</v>
      </c>
      <c r="C192" s="14" t="s">
        <v>25</v>
      </c>
      <c r="D192" s="10">
        <v>26160.904369127518</v>
      </c>
      <c r="E192" s="2">
        <v>71928.6937005988</v>
      </c>
      <c r="F192" s="2">
        <v>8775.9669880239526</v>
      </c>
      <c r="G192" s="10"/>
      <c r="H192" s="7">
        <f t="shared" si="13"/>
        <v>80704.660688622753</v>
      </c>
      <c r="I192" s="7"/>
      <c r="J192" s="7">
        <v>0</v>
      </c>
      <c r="K192" s="7">
        <f t="shared" si="12"/>
        <v>106865.56505775027</v>
      </c>
    </row>
    <row r="193" spans="2:11" ht="14.5" x14ac:dyDescent="0.35">
      <c r="B193" s="14">
        <v>2021</v>
      </c>
      <c r="C193" s="14" t="s">
        <v>26</v>
      </c>
      <c r="D193" s="10">
        <v>28510.824000000001</v>
      </c>
      <c r="E193" s="2">
        <v>69334.941011976058</v>
      </c>
      <c r="F193" s="2">
        <v>8684.4939999999988</v>
      </c>
      <c r="G193" s="10"/>
      <c r="H193" s="7">
        <f t="shared" si="13"/>
        <v>78019.435011976049</v>
      </c>
      <c r="I193" s="7"/>
      <c r="J193" s="7">
        <v>24.06</v>
      </c>
      <c r="K193" s="7">
        <f t="shared" si="12"/>
        <v>106554.31901197607</v>
      </c>
    </row>
    <row r="194" spans="2:11" ht="14.5" x14ac:dyDescent="0.35">
      <c r="B194" s="14">
        <v>2021</v>
      </c>
      <c r="C194" s="14" t="s">
        <v>27</v>
      </c>
      <c r="D194" s="10">
        <f>[1]Juuli21!$M$126</f>
        <v>29592.148000000005</v>
      </c>
      <c r="E194" s="2">
        <f>[1]Juuli21!$M$128</f>
        <v>75284.788281437126</v>
      </c>
      <c r="F194" s="2">
        <f>[1]Juuli21!$M$129</f>
        <v>13069.021718562875</v>
      </c>
      <c r="G194" s="10"/>
      <c r="H194" s="7">
        <f t="shared" si="13"/>
        <v>88353.81</v>
      </c>
      <c r="I194" s="7"/>
      <c r="J194" s="7">
        <f>[1]Juuli21!$M$133</f>
        <v>51.132999999999996</v>
      </c>
      <c r="K194" s="7">
        <f t="shared" si="12"/>
        <v>117997.091</v>
      </c>
    </row>
    <row r="195" spans="2:11" ht="14.5" x14ac:dyDescent="0.35">
      <c r="B195" s="14">
        <v>2021</v>
      </c>
      <c r="C195" s="14" t="s">
        <v>28</v>
      </c>
      <c r="D195" s="10">
        <v>26900.951000000001</v>
      </c>
      <c r="E195" s="2">
        <v>74080.339964071871</v>
      </c>
      <c r="F195" s="2">
        <v>13425.937000000002</v>
      </c>
      <c r="G195" s="10"/>
      <c r="H195" s="7">
        <f>IF(E195+F195+G195&gt;0,E195+F195+G195,"")</f>
        <v>87506.276964071876</v>
      </c>
      <c r="I195" s="7"/>
      <c r="J195" s="7">
        <v>5.0000000000000001E-3</v>
      </c>
      <c r="K195" s="7">
        <f t="shared" si="12"/>
        <v>114407.23296407188</v>
      </c>
    </row>
    <row r="196" spans="2:11" ht="14.5" x14ac:dyDescent="0.35">
      <c r="B196" s="14">
        <v>2021</v>
      </c>
      <c r="C196" s="14" t="s">
        <v>29</v>
      </c>
      <c r="D196" s="2">
        <v>25011.394</v>
      </c>
      <c r="E196" s="2">
        <v>74517.718311377248</v>
      </c>
      <c r="F196" s="2">
        <v>11118.184143712573</v>
      </c>
      <c r="G196" s="10"/>
      <c r="H196" s="7">
        <f>IF(E196+F196+G196&gt;0,E196+F196+G196,"")</f>
        <v>85635.902455089818</v>
      </c>
      <c r="I196" s="7"/>
      <c r="J196" s="7">
        <v>53.661000000000001</v>
      </c>
      <c r="K196" s="7">
        <f t="shared" si="12"/>
        <v>110700.95745508981</v>
      </c>
    </row>
    <row r="197" spans="2:11" ht="14.5" x14ac:dyDescent="0.35">
      <c r="B197" s="14">
        <v>2021</v>
      </c>
      <c r="C197" s="14" t="s">
        <v>30</v>
      </c>
      <c r="D197" s="2">
        <v>23319.493342281879</v>
      </c>
      <c r="E197" s="2">
        <v>71398.690868263468</v>
      </c>
      <c r="F197" s="2">
        <v>6738.2659161676647</v>
      </c>
      <c r="G197" s="10"/>
      <c r="H197" s="7">
        <f>IF(E197+F197+G197&gt;0,E197+F197+G197,"")</f>
        <v>78136.956784431139</v>
      </c>
      <c r="I197" s="7"/>
      <c r="J197" s="7">
        <v>27.141999999999999</v>
      </c>
      <c r="K197" s="7">
        <f t="shared" si="12"/>
        <v>101483.59212671303</v>
      </c>
    </row>
    <row r="198" spans="2:11" ht="14.5" x14ac:dyDescent="0.35">
      <c r="B198" s="14">
        <v>2021</v>
      </c>
      <c r="C198" s="14" t="s">
        <v>31</v>
      </c>
      <c r="D198" s="2">
        <v>20789.806657718123</v>
      </c>
      <c r="E198" s="2">
        <v>71105.064449101803</v>
      </c>
      <c r="F198" s="2">
        <v>6198.9151556886227</v>
      </c>
      <c r="G198" s="10"/>
      <c r="H198" s="7">
        <f>IF(E198+F198+G198&gt;0,E198+F198+G198,"")</f>
        <v>77303.979604790424</v>
      </c>
      <c r="I198" s="7"/>
      <c r="J198" s="7">
        <v>79.234000000000009</v>
      </c>
      <c r="K198" s="7">
        <f t="shared" si="12"/>
        <v>98173.020262508537</v>
      </c>
    </row>
    <row r="199" spans="2:11" ht="14.5" x14ac:dyDescent="0.35">
      <c r="B199" s="14">
        <v>2021</v>
      </c>
      <c r="C199" s="14" t="s">
        <v>32</v>
      </c>
      <c r="D199" s="2">
        <v>24783.85</v>
      </c>
      <c r="E199" s="2">
        <v>78860.649999999994</v>
      </c>
      <c r="F199" s="2">
        <v>6860.73</v>
      </c>
      <c r="G199" s="10"/>
      <c r="H199" s="7">
        <f>IF(E199+F199+G199&gt;0,E199+F199+G199,"")</f>
        <v>85721.37999999999</v>
      </c>
      <c r="I199" s="7"/>
      <c r="J199" s="7">
        <v>56.28</v>
      </c>
      <c r="K199" s="7">
        <f t="shared" si="12"/>
        <v>110561.51</v>
      </c>
    </row>
    <row r="200" spans="2:11" x14ac:dyDescent="0.3">
      <c r="B200" s="15">
        <v>2021</v>
      </c>
      <c r="C200" s="15" t="s">
        <v>33</v>
      </c>
      <c r="D200" s="17">
        <f t="shared" ref="D200:J200" si="14">SUM(D188:D199)</f>
        <v>282680.31505369127</v>
      </c>
      <c r="E200" s="17">
        <f t="shared" si="14"/>
        <v>840426.33658083831</v>
      </c>
      <c r="F200" s="17">
        <f t="shared" si="14"/>
        <v>99668.421449101792</v>
      </c>
      <c r="G200" s="17">
        <f t="shared" si="14"/>
        <v>0</v>
      </c>
      <c r="H200" s="17">
        <f t="shared" si="14"/>
        <v>940094.75802994019</v>
      </c>
      <c r="I200" s="17"/>
      <c r="J200" s="17">
        <f t="shared" si="14"/>
        <v>507.66199999999992</v>
      </c>
      <c r="K200" s="17">
        <f t="shared" si="12"/>
        <v>1223282.7350836315</v>
      </c>
    </row>
    <row r="201" spans="2:11" ht="14.5" x14ac:dyDescent="0.35">
      <c r="B201" s="130">
        <v>2022</v>
      </c>
      <c r="C201" s="130" t="s">
        <v>20</v>
      </c>
      <c r="D201" s="131">
        <v>20311.108</v>
      </c>
      <c r="E201" s="131">
        <v>68798.73798802396</v>
      </c>
      <c r="F201" s="131">
        <v>4750.9800778443114</v>
      </c>
      <c r="G201" s="10">
        <v>0.04</v>
      </c>
      <c r="H201" s="132">
        <f t="shared" ref="H201:H211" si="15">IF(E201+F201+G201&gt;0,E201+F201+G201,"")</f>
        <v>73549.758065868271</v>
      </c>
      <c r="I201" s="132"/>
      <c r="J201" s="133">
        <v>83.941999999999993</v>
      </c>
      <c r="K201" s="7">
        <f t="shared" si="12"/>
        <v>93944.76806586828</v>
      </c>
    </row>
    <row r="202" spans="2:11" ht="14.5" x14ac:dyDescent="0.35">
      <c r="B202" s="130">
        <v>2022</v>
      </c>
      <c r="C202" s="130" t="s">
        <v>22</v>
      </c>
      <c r="D202" s="10">
        <v>18044.25</v>
      </c>
      <c r="E202" s="131">
        <v>62501.79</v>
      </c>
      <c r="F202" s="131">
        <v>5148.9799999999996</v>
      </c>
      <c r="G202" s="10"/>
      <c r="H202" s="132">
        <f t="shared" si="15"/>
        <v>67650.77</v>
      </c>
      <c r="I202" s="132"/>
      <c r="J202" s="132">
        <v>227.96</v>
      </c>
      <c r="K202" s="7">
        <f t="shared" si="12"/>
        <v>85922.98000000001</v>
      </c>
    </row>
    <row r="203" spans="2:11" ht="14.5" x14ac:dyDescent="0.35">
      <c r="B203" s="130">
        <v>2022</v>
      </c>
      <c r="C203" s="130" t="s">
        <v>23</v>
      </c>
      <c r="D203" s="10">
        <v>21070.17</v>
      </c>
      <c r="E203" s="131">
        <v>73741.09</v>
      </c>
      <c r="F203" s="131">
        <v>13414.69</v>
      </c>
      <c r="G203" s="10"/>
      <c r="H203" s="132">
        <f t="shared" si="15"/>
        <v>87155.78</v>
      </c>
      <c r="I203" s="132"/>
      <c r="J203" s="134">
        <v>103.95</v>
      </c>
      <c r="K203" s="7">
        <f t="shared" si="12"/>
        <v>108329.9</v>
      </c>
    </row>
    <row r="204" spans="2:11" ht="14.5" x14ac:dyDescent="0.35">
      <c r="B204" s="130">
        <v>2022</v>
      </c>
      <c r="C204" s="130" t="s">
        <v>24</v>
      </c>
      <c r="D204" s="10">
        <v>20969.43</v>
      </c>
      <c r="E204" s="131">
        <v>65467.11</v>
      </c>
      <c r="F204" s="131">
        <v>5768.4</v>
      </c>
      <c r="G204" s="10"/>
      <c r="H204" s="132">
        <f t="shared" si="15"/>
        <v>71235.509999999995</v>
      </c>
      <c r="I204" s="132"/>
      <c r="J204" s="132">
        <v>80.59</v>
      </c>
      <c r="K204" s="7">
        <f t="shared" si="12"/>
        <v>92285.53</v>
      </c>
    </row>
    <row r="205" spans="2:11" ht="14.5" x14ac:dyDescent="0.35">
      <c r="B205" s="130">
        <v>2022</v>
      </c>
      <c r="C205" s="130" t="s">
        <v>25</v>
      </c>
      <c r="D205" s="10">
        <v>25437.11</v>
      </c>
      <c r="E205" s="131">
        <v>73432.14</v>
      </c>
      <c r="F205" s="131">
        <v>7306.94</v>
      </c>
      <c r="G205" s="10">
        <v>30.16</v>
      </c>
      <c r="H205" s="132">
        <f t="shared" si="15"/>
        <v>80769.240000000005</v>
      </c>
      <c r="I205" s="132"/>
      <c r="J205" s="132">
        <v>56.22</v>
      </c>
      <c r="K205" s="7">
        <f t="shared" si="12"/>
        <v>106232.41</v>
      </c>
    </row>
    <row r="206" spans="2:11" ht="14.5" x14ac:dyDescent="0.35">
      <c r="B206" s="130">
        <v>2022</v>
      </c>
      <c r="C206" s="130" t="s">
        <v>26</v>
      </c>
      <c r="D206" s="10">
        <v>25246.07</v>
      </c>
      <c r="E206" s="131">
        <v>66447.75</v>
      </c>
      <c r="F206" s="131">
        <v>8868.99</v>
      </c>
      <c r="G206" s="10">
        <v>0.02</v>
      </c>
      <c r="H206" s="132">
        <f t="shared" si="15"/>
        <v>75316.760000000009</v>
      </c>
      <c r="I206" s="132"/>
      <c r="J206" s="132">
        <v>79.08</v>
      </c>
      <c r="K206" s="7">
        <f t="shared" si="12"/>
        <v>100641.89000000001</v>
      </c>
    </row>
    <row r="207" spans="2:11" ht="14.5" x14ac:dyDescent="0.35">
      <c r="B207" s="130">
        <v>2022</v>
      </c>
      <c r="C207" s="130" t="s">
        <v>27</v>
      </c>
      <c r="D207" s="10">
        <v>26010.240000000002</v>
      </c>
      <c r="E207" s="131">
        <v>74061.59</v>
      </c>
      <c r="F207" s="131">
        <v>8942.66</v>
      </c>
      <c r="G207" s="10">
        <v>29.9</v>
      </c>
      <c r="H207" s="132">
        <f t="shared" si="15"/>
        <v>83034.149999999994</v>
      </c>
      <c r="I207" s="132"/>
      <c r="J207" s="132">
        <v>24.88</v>
      </c>
      <c r="K207" s="7">
        <f t="shared" si="12"/>
        <v>109039.37000000001</v>
      </c>
    </row>
    <row r="208" spans="2:11" ht="14.5" x14ac:dyDescent="0.35">
      <c r="B208" s="130">
        <v>2022</v>
      </c>
      <c r="C208" s="130" t="s">
        <v>28</v>
      </c>
      <c r="D208" s="10">
        <v>27990.51</v>
      </c>
      <c r="E208" s="131">
        <v>75467.039999999994</v>
      </c>
      <c r="F208" s="131">
        <v>17473.22</v>
      </c>
      <c r="G208" s="10">
        <v>85.12</v>
      </c>
      <c r="H208" s="132">
        <f t="shared" si="15"/>
        <v>93025.37999999999</v>
      </c>
      <c r="I208" s="132"/>
      <c r="J208" s="132">
        <v>28.23</v>
      </c>
      <c r="K208" s="7">
        <f t="shared" si="12"/>
        <v>120958.99999999999</v>
      </c>
    </row>
    <row r="209" spans="2:11" ht="14.5" x14ac:dyDescent="0.35">
      <c r="B209" s="130">
        <v>2022</v>
      </c>
      <c r="C209" s="130" t="s">
        <v>29</v>
      </c>
      <c r="D209" s="131">
        <v>22122.81</v>
      </c>
      <c r="E209" s="131">
        <v>70747.12</v>
      </c>
      <c r="F209" s="131">
        <v>11235.1</v>
      </c>
      <c r="G209" s="10">
        <v>118.65</v>
      </c>
      <c r="H209" s="132">
        <f t="shared" si="15"/>
        <v>82100.87</v>
      </c>
      <c r="I209" s="132"/>
      <c r="J209" s="132">
        <v>135.94999999999999</v>
      </c>
      <c r="K209" s="7">
        <f t="shared" si="12"/>
        <v>104240.98</v>
      </c>
    </row>
    <row r="210" spans="2:11" ht="14.5" x14ac:dyDescent="0.35">
      <c r="B210" s="130">
        <v>2022</v>
      </c>
      <c r="C210" s="130" t="s">
        <v>30</v>
      </c>
      <c r="D210" s="131">
        <v>24448.71</v>
      </c>
      <c r="E210" s="131">
        <v>70355.179999999993</v>
      </c>
      <c r="F210" s="131">
        <v>7055.03</v>
      </c>
      <c r="G210" s="10">
        <v>49.27</v>
      </c>
      <c r="H210" s="132">
        <f t="shared" si="15"/>
        <v>77459.48</v>
      </c>
      <c r="I210" s="132"/>
      <c r="J210" s="132">
        <v>27.04</v>
      </c>
      <c r="K210" s="7">
        <f t="shared" si="12"/>
        <v>101885.95999999998</v>
      </c>
    </row>
    <row r="211" spans="2:11" ht="14.5" x14ac:dyDescent="0.35">
      <c r="B211" s="130">
        <v>2022</v>
      </c>
      <c r="C211" s="130" t="s">
        <v>31</v>
      </c>
      <c r="D211" s="131">
        <v>19995.66</v>
      </c>
      <c r="E211" s="131">
        <v>74072.28</v>
      </c>
      <c r="F211" s="131">
        <v>7602.84</v>
      </c>
      <c r="G211" s="10">
        <v>116.25</v>
      </c>
      <c r="H211" s="132">
        <f t="shared" si="15"/>
        <v>81791.37</v>
      </c>
      <c r="I211" s="132"/>
      <c r="J211" s="132">
        <v>65.77</v>
      </c>
      <c r="K211" s="7">
        <f t="shared" si="12"/>
        <v>101736.55</v>
      </c>
    </row>
    <row r="212" spans="2:11" ht="14.5" x14ac:dyDescent="0.35">
      <c r="B212" s="130">
        <v>2022</v>
      </c>
      <c r="C212" s="130" t="s">
        <v>32</v>
      </c>
      <c r="D212" s="131">
        <v>23763.18</v>
      </c>
      <c r="E212" s="131">
        <v>89764.01</v>
      </c>
      <c r="F212" s="131">
        <v>7788.95</v>
      </c>
      <c r="G212" s="10">
        <v>598.79999999999995</v>
      </c>
      <c r="H212" s="132">
        <f>IF(E212+F212+G212&gt;0,E212+F212+G212,"")</f>
        <v>98151.76</v>
      </c>
      <c r="I212" s="132"/>
      <c r="J212" s="132">
        <v>79.405000000000001</v>
      </c>
      <c r="K212" s="7">
        <f t="shared" si="12"/>
        <v>121395.545</v>
      </c>
    </row>
    <row r="213" spans="2:11" x14ac:dyDescent="0.3">
      <c r="B213" s="135">
        <v>2022</v>
      </c>
      <c r="C213" s="135" t="s">
        <v>33</v>
      </c>
      <c r="D213" s="136">
        <f t="shared" ref="D213:J213" si="16">SUM(D201:D212)</f>
        <v>275409.24800000002</v>
      </c>
      <c r="E213" s="136">
        <f t="shared" si="16"/>
        <v>864855.83798802411</v>
      </c>
      <c r="F213" s="136">
        <f t="shared" si="16"/>
        <v>105356.78007784431</v>
      </c>
      <c r="G213" s="136">
        <f t="shared" si="16"/>
        <v>1028.21</v>
      </c>
      <c r="H213" s="136">
        <f t="shared" si="16"/>
        <v>971240.82806586823</v>
      </c>
      <c r="I213" s="136"/>
      <c r="J213" s="136">
        <f t="shared" si="16"/>
        <v>993.01700000000005</v>
      </c>
      <c r="K213" s="17">
        <f t="shared" si="12"/>
        <v>1246614.8830658686</v>
      </c>
    </row>
    <row r="214" spans="2:11" ht="14.5" x14ac:dyDescent="0.35">
      <c r="B214" s="130">
        <v>2023</v>
      </c>
      <c r="C214" s="130" t="s">
        <v>20</v>
      </c>
      <c r="D214" s="131">
        <v>19930.59</v>
      </c>
      <c r="E214" s="131">
        <v>55427.69</v>
      </c>
      <c r="F214" s="131">
        <v>4186.2</v>
      </c>
      <c r="G214" s="10">
        <v>0</v>
      </c>
      <c r="H214" s="132">
        <f t="shared" ref="H214:H224" si="17">IF(E214+F214+G214&gt;0,E214+F214+G214,"")</f>
        <v>59613.89</v>
      </c>
      <c r="I214" s="132"/>
      <c r="J214" s="133">
        <v>82.27</v>
      </c>
      <c r="K214" s="7">
        <f t="shared" si="12"/>
        <v>79626.75</v>
      </c>
    </row>
    <row r="215" spans="2:11" ht="14.5" x14ac:dyDescent="0.35">
      <c r="B215" s="130">
        <v>2023</v>
      </c>
      <c r="C215" s="130" t="s">
        <v>22</v>
      </c>
      <c r="D215" s="10">
        <v>17632.18</v>
      </c>
      <c r="E215" s="131">
        <v>63888.31</v>
      </c>
      <c r="F215" s="131">
        <v>4209.5600000000004</v>
      </c>
      <c r="G215" s="10">
        <v>0</v>
      </c>
      <c r="H215" s="132">
        <f t="shared" si="17"/>
        <v>68097.87</v>
      </c>
      <c r="I215" s="132"/>
      <c r="J215" s="132">
        <v>54.88</v>
      </c>
      <c r="K215" s="7">
        <f t="shared" si="12"/>
        <v>85784.93</v>
      </c>
    </row>
    <row r="216" spans="2:11" ht="14.5" x14ac:dyDescent="0.35">
      <c r="B216" s="130">
        <v>2023</v>
      </c>
      <c r="C216" s="130" t="s">
        <v>23</v>
      </c>
      <c r="D216" s="10">
        <v>19750.16</v>
      </c>
      <c r="E216" s="131">
        <v>72147.789999999994</v>
      </c>
      <c r="F216" s="131">
        <v>5626.21</v>
      </c>
      <c r="G216" s="10">
        <v>0.02</v>
      </c>
      <c r="H216" s="132">
        <f>IF(E216+F216+G216&gt;0,E216+F216+G216,"")</f>
        <v>77774.02</v>
      </c>
      <c r="I216" s="132"/>
      <c r="J216" s="134">
        <v>54.62</v>
      </c>
      <c r="K216" s="7">
        <f t="shared" si="12"/>
        <v>97578.78</v>
      </c>
    </row>
    <row r="217" spans="2:11" ht="14.5" x14ac:dyDescent="0.35">
      <c r="B217" s="130">
        <v>2023</v>
      </c>
      <c r="C217" s="130" t="s">
        <v>24</v>
      </c>
      <c r="D217" s="10">
        <v>21650.44</v>
      </c>
      <c r="E217" s="131">
        <v>66040.42</v>
      </c>
      <c r="F217" s="131">
        <v>10437.040000000001</v>
      </c>
      <c r="G217" s="10">
        <v>0</v>
      </c>
      <c r="H217" s="132">
        <f t="shared" si="17"/>
        <v>76477.459999999992</v>
      </c>
      <c r="I217" s="132"/>
      <c r="J217" s="132">
        <v>24.14</v>
      </c>
      <c r="K217" s="7">
        <f t="shared" si="12"/>
        <v>98152.04</v>
      </c>
    </row>
    <row r="218" spans="2:11" ht="14.5" x14ac:dyDescent="0.35">
      <c r="B218" s="130">
        <v>2023</v>
      </c>
      <c r="C218" s="130" t="s">
        <v>25</v>
      </c>
      <c r="D218" s="10">
        <v>26807.86</v>
      </c>
      <c r="E218" s="131">
        <v>74450.539999999994</v>
      </c>
      <c r="F218" s="131">
        <v>8811.06</v>
      </c>
      <c r="G218" s="10">
        <v>0.05</v>
      </c>
      <c r="H218" s="132">
        <f t="shared" si="17"/>
        <v>83261.649999999994</v>
      </c>
      <c r="I218" s="132"/>
      <c r="J218" s="132">
        <v>24.12</v>
      </c>
      <c r="K218" s="7">
        <f t="shared" si="12"/>
        <v>110093.57999999999</v>
      </c>
    </row>
    <row r="219" spans="2:11" ht="14.5" x14ac:dyDescent="0.35">
      <c r="B219" s="130">
        <v>2023</v>
      </c>
      <c r="C219" s="130" t="s">
        <v>26</v>
      </c>
      <c r="D219" s="10">
        <v>24645.96</v>
      </c>
      <c r="E219" s="131">
        <v>70111.75</v>
      </c>
      <c r="F219" s="131">
        <v>6674.86</v>
      </c>
      <c r="G219" s="10">
        <v>956.57</v>
      </c>
      <c r="H219" s="132">
        <f t="shared" si="17"/>
        <v>77743.180000000008</v>
      </c>
      <c r="I219" s="132"/>
      <c r="J219" s="132">
        <v>0</v>
      </c>
      <c r="K219" s="7">
        <f t="shared" si="12"/>
        <v>101432.56999999999</v>
      </c>
    </row>
    <row r="220" spans="2:11" ht="14.5" x14ac:dyDescent="0.35">
      <c r="B220" s="130">
        <v>2023</v>
      </c>
      <c r="C220" s="130" t="s">
        <v>27</v>
      </c>
      <c r="D220" s="10">
        <v>26453.439999999999</v>
      </c>
      <c r="E220" s="131">
        <v>71145.42</v>
      </c>
      <c r="F220" s="131">
        <v>9132.82</v>
      </c>
      <c r="G220" s="10">
        <v>356.83</v>
      </c>
      <c r="H220" s="132">
        <f t="shared" si="17"/>
        <v>80635.069999999992</v>
      </c>
      <c r="I220" s="132"/>
      <c r="J220" s="132">
        <v>0.27</v>
      </c>
      <c r="K220" s="7">
        <f t="shared" si="12"/>
        <v>106731.95</v>
      </c>
    </row>
    <row r="221" spans="2:11" ht="14.5" x14ac:dyDescent="0.35">
      <c r="B221" s="130">
        <v>2023</v>
      </c>
      <c r="C221" s="130" t="s">
        <v>28</v>
      </c>
      <c r="D221" s="10">
        <v>27455</v>
      </c>
      <c r="E221" s="131">
        <v>77132.97</v>
      </c>
      <c r="F221" s="131">
        <v>15432.97</v>
      </c>
      <c r="G221" s="10">
        <v>1072.7</v>
      </c>
      <c r="H221" s="132">
        <f t="shared" si="17"/>
        <v>93638.64</v>
      </c>
      <c r="I221" s="132"/>
      <c r="J221" s="132">
        <v>14.98</v>
      </c>
      <c r="K221" s="7">
        <f t="shared" si="12"/>
        <v>120035.92</v>
      </c>
    </row>
    <row r="222" spans="2:11" ht="14.5" x14ac:dyDescent="0.35">
      <c r="B222" s="130">
        <v>2023</v>
      </c>
      <c r="C222" s="130" t="s">
        <v>29</v>
      </c>
      <c r="D222" s="131">
        <v>22963.21</v>
      </c>
      <c r="E222" s="131">
        <v>71655.820000000007</v>
      </c>
      <c r="F222" s="131">
        <v>11487.73</v>
      </c>
      <c r="G222" s="10">
        <v>1605.92</v>
      </c>
      <c r="H222" s="132">
        <f t="shared" si="17"/>
        <v>84749.47</v>
      </c>
      <c r="I222" s="132"/>
      <c r="J222" s="132">
        <v>24.33</v>
      </c>
      <c r="K222" s="7">
        <f t="shared" si="12"/>
        <v>106131.09</v>
      </c>
    </row>
    <row r="223" spans="2:11" ht="14.5" x14ac:dyDescent="0.35">
      <c r="B223" s="130">
        <v>2023</v>
      </c>
      <c r="C223" s="130" t="s">
        <v>30</v>
      </c>
      <c r="D223" s="131">
        <v>22560.51</v>
      </c>
      <c r="E223" s="131">
        <v>74844.83</v>
      </c>
      <c r="F223" s="131">
        <v>6559.85</v>
      </c>
      <c r="G223" s="10">
        <v>2103.79</v>
      </c>
      <c r="H223" s="132">
        <f t="shared" si="17"/>
        <v>83508.47</v>
      </c>
      <c r="I223" s="132"/>
      <c r="J223" s="132">
        <v>26.68</v>
      </c>
      <c r="K223" s="7">
        <f t="shared" si="12"/>
        <v>103991.87</v>
      </c>
    </row>
    <row r="224" spans="2:11" ht="14.5" x14ac:dyDescent="0.35">
      <c r="B224" s="130">
        <v>2023</v>
      </c>
      <c r="C224" s="130" t="s">
        <v>31</v>
      </c>
      <c r="D224" s="131">
        <v>20614.39</v>
      </c>
      <c r="E224" s="131">
        <v>72637.31</v>
      </c>
      <c r="F224" s="131">
        <v>6551.83</v>
      </c>
      <c r="G224" s="10">
        <v>1238.06</v>
      </c>
      <c r="H224" s="132">
        <f t="shared" si="17"/>
        <v>80427.199999999997</v>
      </c>
      <c r="I224" s="132"/>
      <c r="J224" s="132">
        <v>0.49</v>
      </c>
      <c r="K224" s="7">
        <f t="shared" si="12"/>
        <v>99804.02</v>
      </c>
    </row>
    <row r="225" spans="2:11" ht="14.5" x14ac:dyDescent="0.35">
      <c r="B225" s="130">
        <v>2023</v>
      </c>
      <c r="C225" s="130" t="s">
        <v>32</v>
      </c>
      <c r="D225" s="131">
        <v>24176.99</v>
      </c>
      <c r="E225" s="131">
        <v>89044.44</v>
      </c>
      <c r="F225" s="131">
        <v>5014.1099999999997</v>
      </c>
      <c r="G225" s="10">
        <v>1245.55</v>
      </c>
      <c r="H225" s="132">
        <f>IF(E225+F225+G225&gt;0,E225+F225+G225,"")</f>
        <v>95304.1</v>
      </c>
      <c r="I225" s="132"/>
      <c r="J225" s="132">
        <v>48.78</v>
      </c>
      <c r="K225" s="7">
        <f t="shared" si="12"/>
        <v>118284.32</v>
      </c>
    </row>
    <row r="226" spans="2:11" x14ac:dyDescent="0.3">
      <c r="B226" s="135">
        <v>2023</v>
      </c>
      <c r="C226" s="135" t="s">
        <v>33</v>
      </c>
      <c r="D226" s="136">
        <f t="shared" ref="D226:J226" si="18">SUM(D214:D225)</f>
        <v>274640.73</v>
      </c>
      <c r="E226" s="136">
        <f t="shared" si="18"/>
        <v>858527.2899999998</v>
      </c>
      <c r="F226" s="136">
        <f t="shared" si="18"/>
        <v>94124.24</v>
      </c>
      <c r="G226" s="136">
        <f t="shared" si="18"/>
        <v>8579.49</v>
      </c>
      <c r="H226" s="136">
        <f t="shared" si="18"/>
        <v>961231.0199999999</v>
      </c>
      <c r="I226" s="136"/>
      <c r="J226" s="136">
        <f t="shared" si="18"/>
        <v>355.56000000000006</v>
      </c>
      <c r="K226" s="17">
        <f t="shared" si="12"/>
        <v>1227647.8199999998</v>
      </c>
    </row>
    <row r="227" spans="2:11" ht="14.5" x14ac:dyDescent="0.35">
      <c r="B227" s="130">
        <v>2024</v>
      </c>
      <c r="C227" s="130" t="s">
        <v>20</v>
      </c>
      <c r="D227" s="131">
        <v>21010.47</v>
      </c>
      <c r="E227" s="131">
        <v>58902.25</v>
      </c>
      <c r="F227" s="131">
        <v>4609.3500000000004</v>
      </c>
      <c r="G227" s="10">
        <v>1072.3599999999999</v>
      </c>
      <c r="H227" s="132">
        <f>IF(E227+F227+G227&gt;0,E227+F227+G227,"")</f>
        <v>64583.96</v>
      </c>
      <c r="I227" s="132"/>
      <c r="J227" s="133">
        <v>53.07</v>
      </c>
      <c r="K227" s="7">
        <f t="shared" si="12"/>
        <v>84575.140000000014</v>
      </c>
    </row>
    <row r="228" spans="2:11" ht="14.5" x14ac:dyDescent="0.35">
      <c r="B228" s="130">
        <v>2024</v>
      </c>
      <c r="C228" s="130" t="s">
        <v>22</v>
      </c>
      <c r="D228" s="10">
        <v>19359.02</v>
      </c>
      <c r="E228" s="131">
        <v>64399.76</v>
      </c>
      <c r="F228" s="131">
        <v>3618.81</v>
      </c>
      <c r="G228" s="10">
        <v>2090.4499999999998</v>
      </c>
      <c r="H228" s="132">
        <f t="shared" ref="H228" si="19">IF(E228+F228+G228&gt;0,E228+F228+G228,"")</f>
        <v>70109.02</v>
      </c>
      <c r="I228" s="132"/>
      <c r="J228" s="132">
        <v>20.83</v>
      </c>
      <c r="K228" s="7">
        <f t="shared" si="12"/>
        <v>87398.42</v>
      </c>
    </row>
    <row r="229" spans="2:11" ht="14.5" x14ac:dyDescent="0.35">
      <c r="B229" s="130">
        <v>2024</v>
      </c>
      <c r="C229" s="130" t="s">
        <v>23</v>
      </c>
      <c r="D229" s="10">
        <v>19572.2</v>
      </c>
      <c r="E229" s="131">
        <v>67905.64</v>
      </c>
      <c r="F229" s="131">
        <v>5653.03</v>
      </c>
      <c r="G229" s="10">
        <v>0</v>
      </c>
      <c r="H229" s="132">
        <f>IF(E229+F229+G229&gt;0,E229+F229+G229,"")</f>
        <v>73558.67</v>
      </c>
      <c r="I229" s="132"/>
      <c r="J229" s="134">
        <v>25.05</v>
      </c>
      <c r="K229" s="7">
        <f t="shared" si="12"/>
        <v>93155.92</v>
      </c>
    </row>
    <row r="230" spans="2:11" ht="14.5" x14ac:dyDescent="0.35">
      <c r="B230" s="130">
        <v>2024</v>
      </c>
      <c r="C230" s="130" t="s">
        <v>24</v>
      </c>
      <c r="D230" s="10">
        <v>19795.63</v>
      </c>
      <c r="E230" s="131">
        <v>112548.66</v>
      </c>
      <c r="F230" s="131">
        <v>8274.07</v>
      </c>
      <c r="G230" s="10">
        <v>0.04</v>
      </c>
      <c r="H230" s="132">
        <f t="shared" ref="H230:H237" si="20">IF(E230+F230+G230&gt;0,E230+F230+G230,"")</f>
        <v>120822.77</v>
      </c>
      <c r="I230" s="132"/>
      <c r="J230" s="132">
        <v>73.760000000000005</v>
      </c>
      <c r="K230" s="7">
        <f t="shared" si="12"/>
        <v>140692.12000000002</v>
      </c>
    </row>
    <row r="231" spans="2:11" ht="14.5" x14ac:dyDescent="0.35">
      <c r="B231" s="130">
        <v>2024</v>
      </c>
      <c r="C231" s="130" t="s">
        <v>25</v>
      </c>
      <c r="D231" s="10">
        <v>26709.64</v>
      </c>
      <c r="E231" s="131">
        <v>45875.15</v>
      </c>
      <c r="F231" s="131">
        <v>9811.5300000000007</v>
      </c>
      <c r="G231" s="10">
        <v>0</v>
      </c>
      <c r="H231" s="132">
        <f t="shared" si="20"/>
        <v>55686.68</v>
      </c>
      <c r="I231" s="132"/>
      <c r="J231" s="132">
        <v>0</v>
      </c>
      <c r="K231" s="7">
        <f t="shared" si="12"/>
        <v>82396.320000000007</v>
      </c>
    </row>
    <row r="232" spans="2:11" ht="14.5" x14ac:dyDescent="0.35">
      <c r="B232" s="130">
        <v>2024</v>
      </c>
      <c r="C232" s="130" t="s">
        <v>26</v>
      </c>
      <c r="D232" s="10">
        <v>26703.03</v>
      </c>
      <c r="E232" s="131">
        <v>70966.25</v>
      </c>
      <c r="F232" s="131">
        <v>5799.95</v>
      </c>
      <c r="G232" s="10">
        <v>0</v>
      </c>
      <c r="H232" s="132">
        <f t="shared" si="20"/>
        <v>76766.2</v>
      </c>
      <c r="I232" s="132"/>
      <c r="J232" s="132">
        <v>0.65</v>
      </c>
      <c r="K232" s="7">
        <f t="shared" si="12"/>
        <v>103469.87999999999</v>
      </c>
    </row>
    <row r="233" spans="2:11" ht="14.5" x14ac:dyDescent="0.35">
      <c r="B233" s="130">
        <v>2024</v>
      </c>
      <c r="C233" s="130" t="s">
        <v>27</v>
      </c>
      <c r="D233" s="10">
        <v>26262.880000000001</v>
      </c>
      <c r="E233" s="131">
        <v>73850.679999999993</v>
      </c>
      <c r="F233" s="131">
        <v>9430.81</v>
      </c>
      <c r="G233" s="10">
        <v>0</v>
      </c>
      <c r="H233" s="132">
        <f t="shared" si="20"/>
        <v>83281.489999999991</v>
      </c>
      <c r="I233" s="132"/>
      <c r="J233" s="132">
        <v>24.06</v>
      </c>
      <c r="K233" s="7">
        <f t="shared" si="12"/>
        <v>109568.43</v>
      </c>
    </row>
    <row r="234" spans="2:11" ht="14.5" x14ac:dyDescent="0.35">
      <c r="B234" s="130">
        <v>2024</v>
      </c>
      <c r="C234" s="130" t="s">
        <v>28</v>
      </c>
      <c r="D234" s="10">
        <v>27191.66</v>
      </c>
      <c r="E234" s="131">
        <v>76529.47</v>
      </c>
      <c r="F234" s="131">
        <v>14650.87</v>
      </c>
      <c r="G234" s="10">
        <v>0</v>
      </c>
      <c r="H234" s="132">
        <f t="shared" si="20"/>
        <v>91180.34</v>
      </c>
      <c r="I234" s="132"/>
      <c r="J234" s="132">
        <v>0</v>
      </c>
      <c r="K234" s="7">
        <f t="shared" si="12"/>
        <v>118372</v>
      </c>
    </row>
    <row r="235" spans="2:11" ht="14.5" x14ac:dyDescent="0.35">
      <c r="B235" s="130">
        <v>2024</v>
      </c>
      <c r="C235" s="130" t="s">
        <v>29</v>
      </c>
      <c r="D235" s="131">
        <v>23782.84</v>
      </c>
      <c r="E235" s="131">
        <v>72862.34</v>
      </c>
      <c r="F235" s="131">
        <v>9574.75</v>
      </c>
      <c r="G235" s="10">
        <v>0.04</v>
      </c>
      <c r="H235" s="132">
        <f t="shared" si="20"/>
        <v>82437.12999999999</v>
      </c>
      <c r="I235" s="132"/>
      <c r="J235" s="132">
        <v>27.27</v>
      </c>
      <c r="K235" s="7">
        <f t="shared" si="12"/>
        <v>106247.2</v>
      </c>
    </row>
    <row r="236" spans="2:11" ht="14.5" x14ac:dyDescent="0.35">
      <c r="B236" s="130">
        <v>2024</v>
      </c>
      <c r="C236" s="130" t="s">
        <v>30</v>
      </c>
      <c r="D236" s="131">
        <v>22810.97</v>
      </c>
      <c r="E236" s="131">
        <v>74982.559999999998</v>
      </c>
      <c r="F236" s="131">
        <v>5653.63</v>
      </c>
      <c r="G236" s="10">
        <v>0</v>
      </c>
      <c r="H236" s="132">
        <f t="shared" si="20"/>
        <v>80636.19</v>
      </c>
      <c r="I236" s="132"/>
      <c r="J236" s="132">
        <v>18.2</v>
      </c>
      <c r="K236" s="7">
        <f t="shared" si="12"/>
        <v>103465.36</v>
      </c>
    </row>
    <row r="237" spans="2:11" ht="14.5" x14ac:dyDescent="0.35">
      <c r="B237" s="130">
        <v>2024</v>
      </c>
      <c r="C237" s="130" t="s">
        <v>31</v>
      </c>
      <c r="D237" s="131">
        <v>21365.07</v>
      </c>
      <c r="E237" s="131">
        <v>71995.070000000007</v>
      </c>
      <c r="F237" s="131">
        <v>4026.65</v>
      </c>
      <c r="G237" s="10">
        <v>0</v>
      </c>
      <c r="H237" s="132">
        <f t="shared" si="20"/>
        <v>76021.72</v>
      </c>
      <c r="I237" s="132"/>
      <c r="J237" s="132">
        <v>0</v>
      </c>
      <c r="K237" s="7">
        <f t="shared" si="12"/>
        <v>97386.790000000008</v>
      </c>
    </row>
    <row r="238" spans="2:11" ht="14.5" x14ac:dyDescent="0.35">
      <c r="B238" s="130">
        <v>2024</v>
      </c>
      <c r="C238" s="130" t="s">
        <v>32</v>
      </c>
      <c r="D238" s="131">
        <v>23181.05</v>
      </c>
      <c r="E238" s="131">
        <v>73705.87</v>
      </c>
      <c r="F238" s="131">
        <v>3674.85</v>
      </c>
      <c r="G238" s="10">
        <v>7.0000000000000007E-2</v>
      </c>
      <c r="H238" s="132">
        <f>IF(E238+F238+G238&gt;0,E238+F238+G238,"")</f>
        <v>77380.790000000008</v>
      </c>
      <c r="I238" s="132"/>
      <c r="J238" s="132">
        <v>48.93</v>
      </c>
      <c r="K238" s="7">
        <f t="shared" si="12"/>
        <v>100610.7</v>
      </c>
    </row>
    <row r="239" spans="2:11" x14ac:dyDescent="0.3">
      <c r="B239" s="135">
        <v>2024</v>
      </c>
      <c r="C239" s="135" t="s">
        <v>33</v>
      </c>
      <c r="D239" s="136">
        <f>SUM(D227:D238)</f>
        <v>277744.46000000002</v>
      </c>
      <c r="E239" s="136">
        <f t="shared" ref="E239:G239" si="21">SUM(E227:E238)</f>
        <v>864523.70000000007</v>
      </c>
      <c r="F239" s="136">
        <f t="shared" si="21"/>
        <v>84778.3</v>
      </c>
      <c r="G239" s="136">
        <f t="shared" si="21"/>
        <v>3162.9599999999996</v>
      </c>
      <c r="H239" s="136">
        <f>SUM(H227:H238)</f>
        <v>952464.96</v>
      </c>
      <c r="I239" s="136">
        <v>72836</v>
      </c>
      <c r="J239" s="136">
        <f>SUM(J227:J238)</f>
        <v>291.82</v>
      </c>
      <c r="K239" s="17">
        <f>D239+E239+F239+J239+I239</f>
        <v>1300174.2800000003</v>
      </c>
    </row>
    <row r="240" spans="2:11" ht="14.5" x14ac:dyDescent="0.35">
      <c r="B240" s="130">
        <v>2025</v>
      </c>
      <c r="C240" s="130" t="s">
        <v>20</v>
      </c>
      <c r="D240" s="131">
        <v>18945.39</v>
      </c>
      <c r="E240" s="131">
        <v>67765.81</v>
      </c>
      <c r="F240" s="131">
        <v>3280.15</v>
      </c>
      <c r="G240" s="10">
        <v>0</v>
      </c>
      <c r="H240" s="132">
        <f t="shared" ref="H240:H241" si="22">IF(E240+F240+G240&gt;0,E240+F240+G240,"")</f>
        <v>71045.959999999992</v>
      </c>
      <c r="I240" s="132">
        <v>6027.08</v>
      </c>
      <c r="J240" s="133">
        <v>20.02</v>
      </c>
      <c r="K240" s="7">
        <f>D240+E240+F240+G240+I240+J240</f>
        <v>96038.45</v>
      </c>
    </row>
    <row r="241" spans="2:14" ht="14.5" x14ac:dyDescent="0.35">
      <c r="B241" s="130">
        <v>2025</v>
      </c>
      <c r="C241" s="130" t="s">
        <v>22</v>
      </c>
      <c r="D241" s="10">
        <v>18522.32</v>
      </c>
      <c r="E241" s="131">
        <v>65875.55</v>
      </c>
      <c r="F241" s="131">
        <v>2744.31</v>
      </c>
      <c r="G241" s="10">
        <v>0.02</v>
      </c>
      <c r="H241" s="132">
        <f t="shared" si="22"/>
        <v>68619.88</v>
      </c>
      <c r="I241" s="132">
        <v>5938.36</v>
      </c>
      <c r="J241" s="132">
        <v>23.86</v>
      </c>
      <c r="K241" s="7">
        <f>D241+E241+F241+G241+I241+J241</f>
        <v>93104.42</v>
      </c>
    </row>
    <row r="242" spans="2:14" ht="14.5" x14ac:dyDescent="0.35">
      <c r="B242" s="130">
        <v>2025</v>
      </c>
      <c r="C242" s="130" t="s">
        <v>23</v>
      </c>
      <c r="D242" s="10">
        <v>20934.900000000001</v>
      </c>
      <c r="E242" s="131">
        <v>72134.95</v>
      </c>
      <c r="F242" s="131">
        <v>5194.7299999999996</v>
      </c>
      <c r="G242" s="10">
        <v>0</v>
      </c>
      <c r="H242" s="132">
        <f>IF(E242+F242+G242&gt;0,E242+F242+G242,"")</f>
        <v>77329.679999999993</v>
      </c>
      <c r="I242" s="132">
        <v>7379.12</v>
      </c>
      <c r="J242" s="134">
        <v>0.32</v>
      </c>
      <c r="K242" s="7">
        <f>D242+E242+F242+G242+I242+J242</f>
        <v>105644.02</v>
      </c>
    </row>
    <row r="243" spans="2:14" ht="14.5" x14ac:dyDescent="0.35">
      <c r="B243" s="130">
        <v>2025</v>
      </c>
      <c r="C243" s="130" t="s">
        <v>24</v>
      </c>
      <c r="D243" s="10">
        <v>20857.47</v>
      </c>
      <c r="E243" s="131">
        <v>86996.03</v>
      </c>
      <c r="F243" s="131">
        <v>9727.32</v>
      </c>
      <c r="G243" s="10">
        <v>0</v>
      </c>
      <c r="H243" s="132">
        <f t="shared" ref="H243:H250" si="23">IF(E243+F243+G243&gt;0,E243+F243+G243,"")</f>
        <v>96723.35</v>
      </c>
      <c r="I243" s="132">
        <v>7156.8</v>
      </c>
      <c r="J243" s="132">
        <v>23.83</v>
      </c>
      <c r="K243" s="7">
        <f>D243+E243+F243+G243+J243+I243</f>
        <v>124761.45000000001</v>
      </c>
    </row>
    <row r="244" spans="2:14" ht="14.5" x14ac:dyDescent="0.35">
      <c r="B244" s="130">
        <v>2025</v>
      </c>
      <c r="C244" s="130" t="s">
        <v>25</v>
      </c>
      <c r="D244" s="10">
        <v>27054.82</v>
      </c>
      <c r="E244" s="131">
        <v>66845.08</v>
      </c>
      <c r="F244" s="131">
        <v>7564.43</v>
      </c>
      <c r="G244" s="10">
        <v>0</v>
      </c>
      <c r="H244" s="132">
        <f t="shared" si="23"/>
        <v>74409.510000000009</v>
      </c>
      <c r="I244" s="132">
        <v>8034.18</v>
      </c>
      <c r="J244" s="132">
        <v>30.07</v>
      </c>
      <c r="K244" s="7">
        <f>D244+E244+F244+G244+J244+I244</f>
        <v>109528.57999999999</v>
      </c>
    </row>
    <row r="245" spans="2:14" ht="14.5" x14ac:dyDescent="0.35">
      <c r="B245" s="130">
        <v>2025</v>
      </c>
      <c r="C245" s="130" t="s">
        <v>26</v>
      </c>
      <c r="D245" s="10">
        <v>28726.02</v>
      </c>
      <c r="E245" s="131">
        <v>71659.789999999994</v>
      </c>
      <c r="F245" s="131">
        <v>6977.06</v>
      </c>
      <c r="G245" s="10">
        <v>0</v>
      </c>
      <c r="H245" s="132">
        <f t="shared" si="23"/>
        <v>78636.849999999991</v>
      </c>
      <c r="I245" s="132">
        <v>8528.75</v>
      </c>
      <c r="J245" s="132">
        <v>24.08</v>
      </c>
      <c r="K245" s="7">
        <f t="shared" ref="K245:K251" si="24">D245+E245+F245+G245+I245+J245</f>
        <v>115915.7</v>
      </c>
    </row>
    <row r="246" spans="2:14" ht="14.5" x14ac:dyDescent="0.35">
      <c r="B246" s="130">
        <v>2025</v>
      </c>
      <c r="C246" s="130" t="s">
        <v>27</v>
      </c>
      <c r="D246" s="10">
        <v>25264.48</v>
      </c>
      <c r="E246" s="131">
        <v>74585.94</v>
      </c>
      <c r="F246" s="131">
        <v>7317.65</v>
      </c>
      <c r="G246" s="10">
        <v>0</v>
      </c>
      <c r="H246" s="132">
        <f t="shared" si="23"/>
        <v>81903.59</v>
      </c>
      <c r="I246" s="132">
        <v>7769.15</v>
      </c>
      <c r="J246" s="132">
        <v>0</v>
      </c>
      <c r="K246" s="7">
        <f t="shared" si="24"/>
        <v>114937.21999999999</v>
      </c>
    </row>
    <row r="247" spans="2:14" ht="14.5" x14ac:dyDescent="0.35">
      <c r="B247" s="130">
        <v>2025</v>
      </c>
      <c r="C247" s="130" t="s">
        <v>28</v>
      </c>
      <c r="D247" s="10">
        <v>28149.54</v>
      </c>
      <c r="E247" s="131">
        <v>78428.210000000006</v>
      </c>
      <c r="F247" s="131">
        <v>14361</v>
      </c>
      <c r="G247" s="10">
        <v>0.04</v>
      </c>
      <c r="H247" s="132">
        <f t="shared" si="23"/>
        <v>92789.25</v>
      </c>
      <c r="I247" s="132">
        <v>8323.68</v>
      </c>
      <c r="J247" s="132">
        <v>0.32</v>
      </c>
      <c r="K247" s="7">
        <f t="shared" si="24"/>
        <v>129262.79000000001</v>
      </c>
    </row>
    <row r="248" spans="2:14" ht="14.5" x14ac:dyDescent="0.35">
      <c r="B248" s="130">
        <v>2025</v>
      </c>
      <c r="C248" s="130" t="s">
        <v>29</v>
      </c>
      <c r="D248" s="131">
        <v>24011.3</v>
      </c>
      <c r="E248" s="131">
        <v>78158.789999999994</v>
      </c>
      <c r="F248" s="131">
        <v>12000.3</v>
      </c>
      <c r="G248" s="10">
        <v>0</v>
      </c>
      <c r="H248" s="132">
        <f t="shared" si="23"/>
        <v>90159.09</v>
      </c>
      <c r="I248" s="132">
        <v>9267.9599999999991</v>
      </c>
      <c r="J248" s="132">
        <v>53.48</v>
      </c>
      <c r="K248" s="7">
        <f t="shared" si="24"/>
        <v>123491.83</v>
      </c>
    </row>
    <row r="249" spans="2:14" ht="14.5" x14ac:dyDescent="0.35">
      <c r="B249" s="130">
        <v>2025</v>
      </c>
      <c r="C249" s="130" t="s">
        <v>30</v>
      </c>
      <c r="D249" s="131">
        <v>22011.68</v>
      </c>
      <c r="E249" s="131">
        <v>77776.78</v>
      </c>
      <c r="F249" s="131">
        <v>6070.68</v>
      </c>
      <c r="G249" s="10">
        <v>0.08</v>
      </c>
      <c r="H249" s="132">
        <f t="shared" si="23"/>
        <v>83847.539999999994</v>
      </c>
      <c r="I249" s="132">
        <v>10376.41</v>
      </c>
      <c r="J249" s="132">
        <v>0</v>
      </c>
      <c r="K249" s="7">
        <f t="shared" si="24"/>
        <v>116235.62999999999</v>
      </c>
    </row>
    <row r="250" spans="2:14" ht="14.5" x14ac:dyDescent="0.35">
      <c r="B250" s="130">
        <v>2025</v>
      </c>
      <c r="C250" s="130" t="s">
        <v>31</v>
      </c>
      <c r="D250" s="131">
        <v>21618.37</v>
      </c>
      <c r="E250" s="131">
        <v>74431.399999999994</v>
      </c>
      <c r="F250" s="131">
        <v>4322.22</v>
      </c>
      <c r="G250" s="10">
        <v>0.04</v>
      </c>
      <c r="H250" s="132">
        <f t="shared" si="23"/>
        <v>78753.659999999989</v>
      </c>
      <c r="I250" s="132">
        <v>7558.29</v>
      </c>
      <c r="J250" s="132">
        <v>23.76</v>
      </c>
      <c r="K250" s="7">
        <f t="shared" si="24"/>
        <v>107954.07999999997</v>
      </c>
    </row>
    <row r="251" spans="2:14" ht="14.5" x14ac:dyDescent="0.35">
      <c r="B251" s="130">
        <v>2025</v>
      </c>
      <c r="C251" s="130" t="s">
        <v>32</v>
      </c>
      <c r="D251" s="131">
        <v>23820.101999999999</v>
      </c>
      <c r="E251" s="131">
        <v>70796.91</v>
      </c>
      <c r="F251" s="131">
        <v>3610.81</v>
      </c>
      <c r="G251" s="10">
        <v>0</v>
      </c>
      <c r="H251" s="132">
        <f>IF(E251+F251+G251&gt;0,E251+F251+G251,"")</f>
        <v>74407.72</v>
      </c>
      <c r="I251" s="132">
        <v>7288.58</v>
      </c>
      <c r="J251" s="132">
        <v>0</v>
      </c>
      <c r="K251" s="7">
        <f t="shared" si="24"/>
        <v>105516.402</v>
      </c>
    </row>
    <row r="252" spans="2:14" x14ac:dyDescent="0.3">
      <c r="B252" s="135">
        <v>2025</v>
      </c>
      <c r="C252" s="135" t="s">
        <v>33</v>
      </c>
      <c r="D252" s="136">
        <f>SUM(D240:D251)</f>
        <v>279916.39199999999</v>
      </c>
      <c r="E252" s="136">
        <f>SUM(E240:E251)</f>
        <v>885455.24000000011</v>
      </c>
      <c r="F252" s="136">
        <f t="shared" ref="F252:J252" si="25">SUM(F240:F251)</f>
        <v>83170.66</v>
      </c>
      <c r="G252" s="136">
        <f t="shared" si="25"/>
        <v>0.18000000000000002</v>
      </c>
      <c r="H252" s="136">
        <f>SUM(H240:H251)</f>
        <v>968626.08</v>
      </c>
      <c r="I252" s="136">
        <f>SUM(I240:I251)</f>
        <v>93648.359999999986</v>
      </c>
      <c r="J252" s="136">
        <f t="shared" si="25"/>
        <v>199.73999999999998</v>
      </c>
      <c r="K252" s="17">
        <f>D252+E252+F252+G252+I252+J252</f>
        <v>1342390.5719999999</v>
      </c>
      <c r="L252" s="148"/>
      <c r="M252" s="148"/>
      <c r="N252" s="148"/>
    </row>
    <row r="253" spans="2:14" x14ac:dyDescent="0.3">
      <c r="B253" s="130">
        <v>2026</v>
      </c>
      <c r="C253" s="130" t="s">
        <v>20</v>
      </c>
      <c r="D253" s="131">
        <v>21040.34</v>
      </c>
      <c r="E253" s="131">
        <v>79105.960000000006</v>
      </c>
      <c r="F253" s="131">
        <v>3507.89</v>
      </c>
      <c r="G253" s="131">
        <v>0.08</v>
      </c>
      <c r="H253" s="132">
        <f t="shared" ref="H253:H254" si="26">IF(E253+F253+G253&gt;0,E253+F253+G253,"")</f>
        <v>82613.930000000008</v>
      </c>
      <c r="I253" s="131">
        <v>6395.6</v>
      </c>
      <c r="J253" s="131">
        <v>47.26</v>
      </c>
      <c r="K253" s="7">
        <f>D253+E253+F253+G253+I253+J253</f>
        <v>110097.13</v>
      </c>
    </row>
    <row r="254" spans="2:14" ht="14.5" x14ac:dyDescent="0.35">
      <c r="B254" s="130">
        <v>2026</v>
      </c>
      <c r="C254" s="130" t="s">
        <v>22</v>
      </c>
      <c r="D254" s="10">
        <v>21849.7</v>
      </c>
      <c r="E254" s="131">
        <v>74394.48</v>
      </c>
      <c r="F254" s="131">
        <v>3029.57</v>
      </c>
      <c r="G254" s="131">
        <v>0</v>
      </c>
      <c r="H254" s="132">
        <f t="shared" si="26"/>
        <v>77424.05</v>
      </c>
      <c r="I254" s="131">
        <v>6441.96</v>
      </c>
      <c r="J254" s="131">
        <v>0.32</v>
      </c>
      <c r="K254" s="7">
        <f>D254+E254+F254+G254+I254+J254</f>
        <v>105716.03000000001</v>
      </c>
    </row>
    <row r="255" spans="2:14" ht="14.5" x14ac:dyDescent="0.35">
      <c r="B255" s="130">
        <v>2026</v>
      </c>
      <c r="C255" s="130" t="s">
        <v>23</v>
      </c>
      <c r="D255" s="10">
        <v>29449.62</v>
      </c>
      <c r="E255" s="131">
        <v>87073.1</v>
      </c>
      <c r="F255" s="131">
        <v>8493.09</v>
      </c>
      <c r="G255" s="131">
        <v>0</v>
      </c>
      <c r="H255" s="132">
        <f>IF(E255+F255+G255&gt;0,E255+F255+G255,"")</f>
        <v>95566.19</v>
      </c>
      <c r="I255" s="131">
        <v>8551.07</v>
      </c>
      <c r="J255" s="131">
        <v>0</v>
      </c>
      <c r="K255" s="7">
        <f>D255+E255+F255+G255+I255+J255</f>
        <v>133566.88</v>
      </c>
    </row>
    <row r="256" spans="2:14" ht="14.5" x14ac:dyDescent="0.35">
      <c r="B256" s="130">
        <v>2026</v>
      </c>
      <c r="C256" s="130" t="s">
        <v>24</v>
      </c>
      <c r="D256" s="10">
        <v>23273.32</v>
      </c>
      <c r="E256" s="131">
        <v>72377.37</v>
      </c>
      <c r="F256" s="131">
        <v>7888.64</v>
      </c>
      <c r="G256" s="131">
        <v>0</v>
      </c>
      <c r="H256" s="132">
        <f t="shared" ref="H256:H263" si="27">IF(E256+F256+G256&gt;0,E256+F256+G256,"")</f>
        <v>80266.009999999995</v>
      </c>
      <c r="I256" s="131">
        <v>8853.81</v>
      </c>
      <c r="J256" s="131">
        <v>24.82</v>
      </c>
      <c r="K256" s="7">
        <f>D256+E256+F256+G256+J256+I256</f>
        <v>112417.96</v>
      </c>
    </row>
    <row r="257" spans="2:11" ht="14.5" x14ac:dyDescent="0.35">
      <c r="B257" s="130">
        <v>2026</v>
      </c>
      <c r="C257" s="130" t="s">
        <v>25</v>
      </c>
      <c r="D257" s="10">
        <v>25179.48</v>
      </c>
      <c r="E257" s="131">
        <v>71478.28</v>
      </c>
      <c r="F257" s="131">
        <v>5510.74</v>
      </c>
      <c r="G257" s="131">
        <v>0</v>
      </c>
      <c r="H257" s="132">
        <f t="shared" si="27"/>
        <v>76989.02</v>
      </c>
      <c r="I257" s="131">
        <v>9515.74</v>
      </c>
      <c r="J257" s="131">
        <v>0.32</v>
      </c>
      <c r="K257" s="7">
        <f>D257+E257+F257+G257+J257+I257</f>
        <v>111684.56000000001</v>
      </c>
    </row>
    <row r="258" spans="2:11" ht="14.5" x14ac:dyDescent="0.35">
      <c r="B258" s="130">
        <v>2026</v>
      </c>
      <c r="C258" s="130" t="s">
        <v>26</v>
      </c>
      <c r="D258" s="10">
        <v>26892.91</v>
      </c>
      <c r="E258" s="131">
        <v>71538.48</v>
      </c>
      <c r="F258" s="131">
        <v>5692.88</v>
      </c>
      <c r="G258" s="131">
        <v>0</v>
      </c>
      <c r="H258" s="132">
        <f t="shared" si="27"/>
        <v>77231.360000000001</v>
      </c>
      <c r="I258" s="131">
        <v>8741.7800000000007</v>
      </c>
      <c r="J258" s="131">
        <v>0.32</v>
      </c>
      <c r="K258" s="7">
        <f t="shared" ref="K258:K264" si="28">D258+E258+F258+G258+I258+J258</f>
        <v>112866.37000000001</v>
      </c>
    </row>
    <row r="259" spans="2:11" ht="14.5" x14ac:dyDescent="0.35">
      <c r="B259" s="130">
        <v>2026</v>
      </c>
      <c r="C259" s="130" t="s">
        <v>27</v>
      </c>
      <c r="D259" s="10">
        <v>27545.82</v>
      </c>
      <c r="E259" s="131">
        <v>75164.240000000005</v>
      </c>
      <c r="F259" s="131">
        <v>9827.9699999999993</v>
      </c>
      <c r="G259" s="131">
        <v>0</v>
      </c>
      <c r="H259" s="132">
        <f t="shared" si="27"/>
        <v>84992.21</v>
      </c>
      <c r="I259" s="131">
        <v>8452.65</v>
      </c>
      <c r="J259" s="131">
        <v>0</v>
      </c>
      <c r="K259" s="7">
        <f t="shared" si="28"/>
        <v>120990.68</v>
      </c>
    </row>
    <row r="260" spans="2:11" ht="14.5" x14ac:dyDescent="0.35">
      <c r="B260" s="130">
        <v>2026</v>
      </c>
      <c r="C260" s="130" t="s">
        <v>28</v>
      </c>
      <c r="D260" s="10">
        <v>0</v>
      </c>
      <c r="E260" s="131">
        <v>0</v>
      </c>
      <c r="F260" s="131">
        <v>0</v>
      </c>
      <c r="G260" s="131">
        <v>0</v>
      </c>
      <c r="H260" s="132" t="str">
        <f t="shared" si="27"/>
        <v/>
      </c>
      <c r="I260" s="131">
        <v>0</v>
      </c>
      <c r="J260" s="131">
        <v>0</v>
      </c>
      <c r="K260" s="7">
        <f t="shared" si="28"/>
        <v>0</v>
      </c>
    </row>
    <row r="261" spans="2:11" x14ac:dyDescent="0.3">
      <c r="B261" s="130">
        <v>2026</v>
      </c>
      <c r="C261" s="130" t="s">
        <v>29</v>
      </c>
      <c r="D261" s="131">
        <v>0</v>
      </c>
      <c r="E261" s="131">
        <v>0</v>
      </c>
      <c r="F261" s="131">
        <v>0</v>
      </c>
      <c r="G261" s="131">
        <v>0</v>
      </c>
      <c r="H261" s="132" t="str">
        <f t="shared" si="27"/>
        <v/>
      </c>
      <c r="I261" s="131">
        <v>0</v>
      </c>
      <c r="J261" s="131">
        <v>0</v>
      </c>
      <c r="K261" s="7">
        <f t="shared" si="28"/>
        <v>0</v>
      </c>
    </row>
    <row r="262" spans="2:11" x14ac:dyDescent="0.3">
      <c r="B262" s="130">
        <v>2026</v>
      </c>
      <c r="C262" s="130" t="s">
        <v>30</v>
      </c>
      <c r="D262" s="131">
        <v>0</v>
      </c>
      <c r="E262" s="131">
        <v>0</v>
      </c>
      <c r="F262" s="131">
        <v>0</v>
      </c>
      <c r="G262" s="131">
        <v>0</v>
      </c>
      <c r="H262" s="132" t="str">
        <f t="shared" si="27"/>
        <v/>
      </c>
      <c r="I262" s="131">
        <v>0</v>
      </c>
      <c r="J262" s="131">
        <v>0</v>
      </c>
      <c r="K262" s="7">
        <f t="shared" si="28"/>
        <v>0</v>
      </c>
    </row>
    <row r="263" spans="2:11" x14ac:dyDescent="0.3">
      <c r="B263" s="130">
        <v>2026</v>
      </c>
      <c r="C263" s="130" t="s">
        <v>31</v>
      </c>
      <c r="D263" s="131">
        <v>0</v>
      </c>
      <c r="E263" s="131">
        <v>0</v>
      </c>
      <c r="F263" s="131">
        <v>0</v>
      </c>
      <c r="G263" s="131">
        <v>0</v>
      </c>
      <c r="H263" s="132" t="str">
        <f t="shared" si="27"/>
        <v/>
      </c>
      <c r="I263" s="131">
        <v>0</v>
      </c>
      <c r="J263" s="131">
        <v>0</v>
      </c>
      <c r="K263" s="7">
        <f t="shared" si="28"/>
        <v>0</v>
      </c>
    </row>
    <row r="264" spans="2:11" x14ac:dyDescent="0.3">
      <c r="B264" s="130">
        <v>2026</v>
      </c>
      <c r="C264" s="130" t="s">
        <v>32</v>
      </c>
      <c r="D264" s="131">
        <v>0</v>
      </c>
      <c r="E264" s="131">
        <v>0</v>
      </c>
      <c r="F264" s="131">
        <v>0</v>
      </c>
      <c r="G264" s="131">
        <v>0</v>
      </c>
      <c r="H264" s="132" t="str">
        <f>IF(E264+F264+G264&gt;0,E264+F264+G264,"")</f>
        <v/>
      </c>
      <c r="I264" s="131">
        <v>0</v>
      </c>
      <c r="J264" s="131">
        <v>0</v>
      </c>
      <c r="K264" s="7">
        <f t="shared" si="28"/>
        <v>0</v>
      </c>
    </row>
    <row r="265" spans="2:11" x14ac:dyDescent="0.3">
      <c r="B265" s="130">
        <v>2026</v>
      </c>
      <c r="C265" s="135" t="s">
        <v>33</v>
      </c>
      <c r="D265" s="136">
        <f>SUM(D253:D264)</f>
        <v>175231.19</v>
      </c>
      <c r="E265" s="136">
        <f>SUM(E253:E264)</f>
        <v>531131.91</v>
      </c>
      <c r="F265" s="136">
        <f t="shared" ref="F265:G265" si="29">SUM(F253:F264)</f>
        <v>43950.78</v>
      </c>
      <c r="G265" s="136">
        <f t="shared" si="29"/>
        <v>0.08</v>
      </c>
      <c r="H265" s="136">
        <f>SUM(H253:H264)</f>
        <v>575082.77</v>
      </c>
      <c r="I265" s="136">
        <f>SUM(I253:I264)</f>
        <v>56952.61</v>
      </c>
      <c r="J265" s="136">
        <f>SUM(J253:J264)</f>
        <v>73.039999999999992</v>
      </c>
      <c r="K265" s="17">
        <f>D265+E265+F265+G265+I265+J265</f>
        <v>807339.6100000001</v>
      </c>
    </row>
    <row r="271" spans="2:11" x14ac:dyDescent="0.3">
      <c r="C271" s="141">
        <v>46273</v>
      </c>
    </row>
  </sheetData>
  <autoFilter ref="B5:C200" xr:uid="{00000000-0009-0000-0000-000000000000}"/>
  <phoneticPr fontId="5" type="noConversion"/>
  <pageMargins left="0.75" right="0.75" top="1" bottom="1" header="0.3" footer="0.3"/>
  <pageSetup paperSize="9" scale="20" orientation="landscape" r:id="rId1"/>
  <headerFooter alignWithMargins="0"/>
  <ignoredErrors>
    <ignoredError sqref="H148 H161 E174:H174 H187 J194" formula="1"/>
    <ignoredError sqref="J135 E135:G135 D135" formulaRange="1"/>
    <ignoredError sqref="H135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B2:AO85"/>
  <sheetViews>
    <sheetView zoomScaleNormal="100" workbookViewId="0">
      <pane xSplit="3" ySplit="5" topLeftCell="D74" activePane="bottomRight" state="frozen"/>
      <selection pane="topRight" activeCell="D1" sqref="D1"/>
      <selection pane="bottomLeft" activeCell="A5" sqref="A5"/>
      <selection pane="bottomRight" activeCell="D78" sqref="D78"/>
    </sheetView>
  </sheetViews>
  <sheetFormatPr defaultColWidth="14.453125" defaultRowHeight="13" outlineLevelCol="1" x14ac:dyDescent="0.3"/>
  <cols>
    <col min="1" max="1" width="5.453125" style="1" customWidth="1"/>
    <col min="2" max="2" width="14.453125" style="5"/>
    <col min="3" max="3" width="14.453125" style="6"/>
    <col min="4" max="4" width="15" style="1" bestFit="1" customWidth="1"/>
    <col min="5" max="5" width="13.54296875" style="1" bestFit="1" customWidth="1"/>
    <col min="6" max="6" width="15.453125" style="1" customWidth="1"/>
    <col min="7" max="8" width="13.54296875" style="1" hidden="1" customWidth="1" outlineLevel="1"/>
    <col min="9" max="9" width="14.453125" style="1" hidden="1" customWidth="1" outlineLevel="1"/>
    <col min="10" max="10" width="13" style="1" hidden="1" customWidth="1" outlineLevel="1"/>
    <col min="11" max="11" width="14.453125" style="1" hidden="1" customWidth="1" outlineLevel="1"/>
    <col min="12" max="12" width="15" style="1" bestFit="1" customWidth="1" collapsed="1"/>
    <col min="13" max="13" width="15" style="1" customWidth="1"/>
    <col min="14" max="14" width="16.54296875" style="1" customWidth="1"/>
    <col min="15" max="15" width="14.453125" style="1" hidden="1" customWidth="1" outlineLevel="1"/>
    <col min="16" max="16" width="15" style="1" hidden="1" customWidth="1" outlineLevel="1"/>
    <col min="17" max="17" width="14.453125" style="1" hidden="1" customWidth="1" outlineLevel="1"/>
    <col min="18" max="18" width="15" style="1" hidden="1" customWidth="1" outlineLevel="1"/>
    <col min="19" max="20" width="14.453125" style="1" hidden="1" customWidth="1" outlineLevel="1"/>
    <col min="21" max="21" width="13.1796875" style="4" customWidth="1" collapsed="1"/>
    <col min="22" max="26" width="14.453125" style="1" hidden="1" customWidth="1" outlineLevel="1"/>
    <col min="27" max="27" width="14.453125" style="1" customWidth="1" collapsed="1"/>
    <col min="28" max="32" width="14.453125" style="1" hidden="1" customWidth="1" outlineLevel="1"/>
    <col min="33" max="33" width="14.453125" style="1" collapsed="1"/>
    <col min="34" max="16384" width="14.453125" style="1"/>
  </cols>
  <sheetData>
    <row r="2" spans="2:38" x14ac:dyDescent="0.3">
      <c r="B2" s="4" t="s">
        <v>35</v>
      </c>
      <c r="D2" s="4"/>
      <c r="E2" s="4"/>
      <c r="F2" s="4"/>
      <c r="G2" s="4"/>
      <c r="H2" s="4"/>
    </row>
    <row r="3" spans="2:38" x14ac:dyDescent="0.3">
      <c r="B3" s="23" t="s">
        <v>1</v>
      </c>
      <c r="C3" s="24" t="s">
        <v>2</v>
      </c>
      <c r="D3" s="4"/>
      <c r="E3" s="4"/>
      <c r="F3" s="4"/>
      <c r="G3" s="4"/>
      <c r="H3" s="4"/>
    </row>
    <row r="4" spans="2:38" x14ac:dyDescent="0.3">
      <c r="B4" s="23" t="s">
        <v>3</v>
      </c>
      <c r="C4" s="5" t="s">
        <v>36</v>
      </c>
      <c r="U4" s="36">
        <v>0.54200000000000004</v>
      </c>
    </row>
    <row r="5" spans="2:38" s="21" customFormat="1" ht="77.150000000000006" customHeight="1" x14ac:dyDescent="0.35">
      <c r="B5" s="22" t="s">
        <v>5</v>
      </c>
      <c r="C5" s="18" t="s">
        <v>6</v>
      </c>
      <c r="D5" s="8" t="s">
        <v>37</v>
      </c>
      <c r="E5" s="8" t="s">
        <v>38</v>
      </c>
      <c r="F5" s="18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8" t="s">
        <v>14</v>
      </c>
      <c r="M5" s="8" t="s">
        <v>15</v>
      </c>
      <c r="N5" s="18" t="s">
        <v>17</v>
      </c>
      <c r="O5" s="12" t="s">
        <v>9</v>
      </c>
      <c r="P5" s="12" t="s">
        <v>10</v>
      </c>
      <c r="Q5" s="12" t="s">
        <v>11</v>
      </c>
      <c r="R5" s="12" t="s">
        <v>12</v>
      </c>
      <c r="S5" s="12" t="s">
        <v>13</v>
      </c>
      <c r="T5" s="26" t="s">
        <v>39</v>
      </c>
      <c r="U5" s="18" t="s">
        <v>40</v>
      </c>
      <c r="V5" s="12" t="s">
        <v>9</v>
      </c>
      <c r="W5" s="12" t="s">
        <v>10</v>
      </c>
      <c r="X5" s="12" t="s">
        <v>11</v>
      </c>
      <c r="Y5" s="12" t="s">
        <v>12</v>
      </c>
      <c r="Z5" s="12" t="s">
        <v>13</v>
      </c>
      <c r="AA5" s="18" t="s">
        <v>19</v>
      </c>
      <c r="AB5" s="12" t="s">
        <v>9</v>
      </c>
      <c r="AC5" s="12" t="s">
        <v>10</v>
      </c>
      <c r="AD5" s="12" t="s">
        <v>11</v>
      </c>
      <c r="AE5" s="12" t="s">
        <v>12</v>
      </c>
      <c r="AF5" s="12" t="s">
        <v>13</v>
      </c>
    </row>
    <row r="6" spans="2:38" s="9" customFormat="1" ht="14.5" hidden="1" x14ac:dyDescent="0.35">
      <c r="B6" s="20">
        <v>2016</v>
      </c>
      <c r="C6" s="14" t="s">
        <v>20</v>
      </c>
      <c r="D6" s="27">
        <v>23466472.920000002</v>
      </c>
      <c r="E6" s="27">
        <v>2675906.2200000002</v>
      </c>
      <c r="F6" s="28">
        <f>IF((D6+E6)&gt;0,D6+E6,"")</f>
        <v>26142379.140000001</v>
      </c>
      <c r="G6" s="29"/>
      <c r="H6" s="30">
        <f>F6</f>
        <v>26142379.140000001</v>
      </c>
      <c r="I6" s="30"/>
      <c r="J6" s="30"/>
      <c r="K6" s="30" t="str">
        <f>IF(ISNUMBER(J6),(J6-#REF!)/#REF!,"")</f>
        <v/>
      </c>
      <c r="L6" s="27">
        <v>52067677.450000003</v>
      </c>
      <c r="M6" s="27">
        <v>1578109.83</v>
      </c>
      <c r="N6" s="31">
        <f t="shared" ref="N6:N17" si="0">L6+M6</f>
        <v>53645787.280000001</v>
      </c>
      <c r="O6" s="29"/>
      <c r="P6" s="30">
        <f>N6</f>
        <v>53645787.280000001</v>
      </c>
      <c r="Q6" s="30"/>
      <c r="R6" s="30"/>
      <c r="S6" s="30" t="str">
        <f>IF(ISNUMBER(R6),(R6-#REF!)/#REF!,"")</f>
        <v/>
      </c>
      <c r="T6" s="27">
        <v>450819.33999999997</v>
      </c>
      <c r="U6" s="32">
        <f>T6/$U$4</f>
        <v>831769.99999999988</v>
      </c>
      <c r="V6" s="29"/>
      <c r="W6" s="30">
        <f>U6</f>
        <v>831769.99999999988</v>
      </c>
      <c r="X6" s="30"/>
      <c r="Y6" s="30"/>
      <c r="Z6" s="30" t="str">
        <f>IF(ISNUMBER(Y6),(Y6-#REF!)/#REF!,"")</f>
        <v/>
      </c>
      <c r="AA6" s="28">
        <f t="shared" ref="AA6:AA28" si="1">F6+N6+U6</f>
        <v>80619936.420000002</v>
      </c>
      <c r="AB6" s="29"/>
      <c r="AC6" s="30">
        <f>AA6</f>
        <v>80619936.420000002</v>
      </c>
      <c r="AD6" s="30"/>
      <c r="AE6" s="30"/>
      <c r="AF6" s="30" t="str">
        <f>IF(ISNUMBER(AE6),(AE6-#REF!)/#REF!,"")</f>
        <v/>
      </c>
      <c r="AH6" s="37"/>
    </row>
    <row r="7" spans="2:38" s="9" customFormat="1" ht="14.5" hidden="1" x14ac:dyDescent="0.35">
      <c r="B7" s="20">
        <v>2016</v>
      </c>
      <c r="C7" s="14" t="s">
        <v>22</v>
      </c>
      <c r="D7" s="27">
        <v>18447914.050000001</v>
      </c>
      <c r="E7" s="27">
        <v>1947723.1300000001</v>
      </c>
      <c r="F7" s="28">
        <f t="shared" ref="F7:F30" si="2">IF((D7+E7)&gt;0,D7+E7,"")</f>
        <v>20395637.18</v>
      </c>
      <c r="G7" s="29"/>
      <c r="H7" s="30">
        <f>H6+F7</f>
        <v>46538016.32</v>
      </c>
      <c r="I7" s="30"/>
      <c r="J7" s="30"/>
      <c r="K7" s="30" t="str">
        <f>IF(ISNUMBER(J7),(J7-#REF!)/#REF!,"")</f>
        <v/>
      </c>
      <c r="L7" s="27">
        <v>43256836.300000004</v>
      </c>
      <c r="M7" s="27">
        <v>1522214.83</v>
      </c>
      <c r="N7" s="31">
        <f t="shared" si="0"/>
        <v>44779051.130000003</v>
      </c>
      <c r="O7" s="29"/>
      <c r="P7" s="30">
        <f>P6+N7</f>
        <v>98424838.409999996</v>
      </c>
      <c r="Q7" s="30"/>
      <c r="R7" s="30"/>
      <c r="S7" s="30" t="str">
        <f>IF(ISNUMBER(R7),(R7-#REF!)/#REF!,"")</f>
        <v/>
      </c>
      <c r="T7" s="27">
        <v>410964.29000000004</v>
      </c>
      <c r="U7" s="32">
        <f t="shared" ref="U7:U16" si="3">T7/$U$4</f>
        <v>758236.69741697423</v>
      </c>
      <c r="V7" s="29"/>
      <c r="W7" s="30">
        <f>W6+U7</f>
        <v>1590006.6974169742</v>
      </c>
      <c r="X7" s="30"/>
      <c r="Y7" s="30"/>
      <c r="Z7" s="30" t="str">
        <f>IF(ISNUMBER(Y7),(Y7-#REF!)/#REF!,"")</f>
        <v/>
      </c>
      <c r="AA7" s="28">
        <f t="shared" si="1"/>
        <v>65932925.007416978</v>
      </c>
      <c r="AB7" s="29"/>
      <c r="AC7" s="30">
        <f>AA6+AA7</f>
        <v>146552861.42741698</v>
      </c>
      <c r="AD7" s="30"/>
      <c r="AE7" s="30"/>
      <c r="AF7" s="30" t="str">
        <f>IF(ISNUMBER(AE7),(AE7-#REF!)/#REF!,"")</f>
        <v/>
      </c>
      <c r="AH7" s="37"/>
    </row>
    <row r="8" spans="2:38" s="9" customFormat="1" ht="14.5" hidden="1" x14ac:dyDescent="0.35">
      <c r="B8" s="20">
        <v>2016</v>
      </c>
      <c r="C8" s="14" t="s">
        <v>23</v>
      </c>
      <c r="D8" s="27">
        <v>22042940.989999998</v>
      </c>
      <c r="E8" s="27">
        <v>2287159.1399999997</v>
      </c>
      <c r="F8" s="28">
        <f t="shared" si="2"/>
        <v>24330100.129999999</v>
      </c>
      <c r="G8" s="29"/>
      <c r="H8" s="30">
        <f t="shared" ref="H8:H17" si="4">H7+F8</f>
        <v>70868116.450000003</v>
      </c>
      <c r="I8" s="30"/>
      <c r="J8" s="30"/>
      <c r="K8" s="30" t="str">
        <f>IF(ISNUMBER(J8),(J8-#REF!)/#REF!,"")</f>
        <v/>
      </c>
      <c r="L8" s="27">
        <v>46495788.109999999</v>
      </c>
      <c r="M8" s="27">
        <v>1585411.6</v>
      </c>
      <c r="N8" s="31">
        <f t="shared" si="0"/>
        <v>48081199.710000001</v>
      </c>
      <c r="O8" s="29"/>
      <c r="P8" s="30">
        <f t="shared" ref="P8:P17" si="5">P7+N8</f>
        <v>146506038.12</v>
      </c>
      <c r="Q8" s="30"/>
      <c r="R8" s="30"/>
      <c r="S8" s="30" t="str">
        <f>IF(ISNUMBER(R8),(R8-#REF!)/#REF!,"")</f>
        <v/>
      </c>
      <c r="T8" s="27">
        <v>459820.85</v>
      </c>
      <c r="U8" s="32">
        <f t="shared" si="3"/>
        <v>848377.95202952018</v>
      </c>
      <c r="V8" s="29"/>
      <c r="W8" s="30">
        <f t="shared" ref="W8:W17" si="6">W7+U8</f>
        <v>2438384.6494464944</v>
      </c>
      <c r="X8" s="30"/>
      <c r="Y8" s="30"/>
      <c r="Z8" s="30" t="str">
        <f>IF(ISNUMBER(Y8),(Y8-#REF!)/#REF!,"")</f>
        <v/>
      </c>
      <c r="AA8" s="28">
        <f t="shared" si="1"/>
        <v>73259677.79202953</v>
      </c>
      <c r="AB8" s="29"/>
      <c r="AC8" s="30">
        <f>AA6+AA7+AA8</f>
        <v>219812539.21944651</v>
      </c>
      <c r="AD8" s="30"/>
      <c r="AE8" s="30"/>
      <c r="AF8" s="30" t="str">
        <f>IF(ISNUMBER(AE8),(AE8-#REF!)/#REF!,"")</f>
        <v/>
      </c>
      <c r="AH8" s="37"/>
    </row>
    <row r="9" spans="2:38" s="9" customFormat="1" ht="14.5" hidden="1" x14ac:dyDescent="0.35">
      <c r="B9" s="20">
        <v>2016</v>
      </c>
      <c r="C9" s="14" t="s">
        <v>24</v>
      </c>
      <c r="D9" s="27">
        <v>22959189.489999998</v>
      </c>
      <c r="E9" s="27">
        <v>2456074.3899999997</v>
      </c>
      <c r="F9" s="28">
        <f t="shared" si="2"/>
        <v>25415263.879999999</v>
      </c>
      <c r="G9" s="29"/>
      <c r="H9" s="30">
        <f t="shared" si="4"/>
        <v>96283380.329999998</v>
      </c>
      <c r="I9" s="30"/>
      <c r="J9" s="30"/>
      <c r="K9" s="30" t="str">
        <f>IF(ISNUMBER(J9),(J9-#REF!)/#REF!,"")</f>
        <v/>
      </c>
      <c r="L9" s="27">
        <v>44869417.519999988</v>
      </c>
      <c r="M9" s="27">
        <v>1710819</v>
      </c>
      <c r="N9" s="31">
        <f t="shared" si="0"/>
        <v>46580236.519999988</v>
      </c>
      <c r="O9" s="29"/>
      <c r="P9" s="30">
        <f t="shared" si="5"/>
        <v>193086274.63999999</v>
      </c>
      <c r="Q9" s="30"/>
      <c r="R9" s="30"/>
      <c r="S9" s="30" t="str">
        <f>IF(ISNUMBER(R9),(R9-#REF!)/#REF!,"")</f>
        <v/>
      </c>
      <c r="T9" s="27">
        <v>479797.39</v>
      </c>
      <c r="U9" s="32">
        <f t="shared" si="3"/>
        <v>885235.03690036898</v>
      </c>
      <c r="V9" s="29"/>
      <c r="W9" s="30">
        <f t="shared" si="6"/>
        <v>3323619.6863468634</v>
      </c>
      <c r="X9" s="30"/>
      <c r="Y9" s="30"/>
      <c r="Z9" s="30" t="str">
        <f>IF(ISNUMBER(Y9),(Y9-#REF!)/#REF!,"")</f>
        <v/>
      </c>
      <c r="AA9" s="28">
        <f t="shared" si="1"/>
        <v>72880735.436900362</v>
      </c>
      <c r="AB9" s="29"/>
      <c r="AC9" s="30">
        <f>SUM(AA6:AA9)</f>
        <v>292693274.65634686</v>
      </c>
      <c r="AD9" s="30"/>
      <c r="AE9" s="30"/>
      <c r="AF9" s="30" t="str">
        <f>IF(ISNUMBER(AE9),(AE9-#REF!)/#REF!,"")</f>
        <v/>
      </c>
      <c r="AH9" s="37"/>
    </row>
    <row r="10" spans="2:38" s="9" customFormat="1" ht="14.5" hidden="1" x14ac:dyDescent="0.35">
      <c r="B10" s="20">
        <v>2016</v>
      </c>
      <c r="C10" s="14" t="s">
        <v>25</v>
      </c>
      <c r="D10" s="27">
        <v>26560863.995999999</v>
      </c>
      <c r="E10" s="27">
        <v>2895652.1100000003</v>
      </c>
      <c r="F10" s="28">
        <f t="shared" si="2"/>
        <v>29456516.105999999</v>
      </c>
      <c r="G10" s="29"/>
      <c r="H10" s="30">
        <f t="shared" si="4"/>
        <v>125739896.43599999</v>
      </c>
      <c r="I10" s="30"/>
      <c r="J10" s="30"/>
      <c r="K10" s="30" t="str">
        <f>IF(ISNUMBER(J10),(J10-#REF!)/#REF!,"")</f>
        <v/>
      </c>
      <c r="L10" s="27">
        <v>48635700.57</v>
      </c>
      <c r="M10" s="27">
        <v>1597884.8</v>
      </c>
      <c r="N10" s="31">
        <f t="shared" si="0"/>
        <v>50233585.369999997</v>
      </c>
      <c r="O10" s="29"/>
      <c r="P10" s="30">
        <f t="shared" si="5"/>
        <v>243319860.00999999</v>
      </c>
      <c r="Q10" s="30"/>
      <c r="R10" s="30"/>
      <c r="S10" s="30" t="str">
        <f>IF(ISNUMBER(R10),(R10-#REF!)/#REF!,"")</f>
        <v/>
      </c>
      <c r="T10" s="27">
        <v>533067.29</v>
      </c>
      <c r="U10" s="32">
        <f t="shared" si="3"/>
        <v>983518.98523985245</v>
      </c>
      <c r="V10" s="29"/>
      <c r="W10" s="30">
        <f t="shared" si="6"/>
        <v>4307138.6715867156</v>
      </c>
      <c r="X10" s="30"/>
      <c r="Y10" s="30"/>
      <c r="Z10" s="30" t="str">
        <f>IF(ISNUMBER(Y10),(Y10-#REF!)/#REF!,"")</f>
        <v/>
      </c>
      <c r="AA10" s="28">
        <f t="shared" si="1"/>
        <v>80673620.461239845</v>
      </c>
      <c r="AB10" s="29"/>
      <c r="AC10" s="30">
        <f>SUM(AA6:AA10)</f>
        <v>373366895.11758673</v>
      </c>
      <c r="AD10" s="30"/>
      <c r="AE10" s="30"/>
      <c r="AF10" s="30" t="str">
        <f>IF(ISNUMBER(AE10),(AE10-#REF!)/#REF!,"")</f>
        <v/>
      </c>
      <c r="AH10" s="37"/>
    </row>
    <row r="11" spans="2:38" s="9" customFormat="1" ht="14.5" hidden="1" x14ac:dyDescent="0.35">
      <c r="B11" s="20">
        <v>2016</v>
      </c>
      <c r="C11" s="14" t="s">
        <v>26</v>
      </c>
      <c r="D11" s="27">
        <v>26419932.219999999</v>
      </c>
      <c r="E11" s="27">
        <v>2901887.5100000002</v>
      </c>
      <c r="F11" s="28">
        <f t="shared" si="2"/>
        <v>29321819.73</v>
      </c>
      <c r="G11" s="29"/>
      <c r="H11" s="30">
        <f t="shared" si="4"/>
        <v>155061716.16599998</v>
      </c>
      <c r="I11" s="30"/>
      <c r="J11" s="30"/>
      <c r="K11" s="30" t="str">
        <f>IF(ISNUMBER(J11),(J11-#REF!)/#REF!,"")</f>
        <v/>
      </c>
      <c r="L11" s="27">
        <v>45995509.409999996</v>
      </c>
      <c r="M11" s="27">
        <v>1508538.83</v>
      </c>
      <c r="N11" s="31">
        <f t="shared" si="0"/>
        <v>47504048.239999995</v>
      </c>
      <c r="O11" s="29"/>
      <c r="P11" s="30">
        <f t="shared" si="5"/>
        <v>290823908.25</v>
      </c>
      <c r="Q11" s="30"/>
      <c r="R11" s="30"/>
      <c r="S11" s="30" t="str">
        <f>IF(ISNUMBER(R11),(R11-#REF!)/#REF!,"")</f>
        <v/>
      </c>
      <c r="T11" s="27">
        <v>544965.6</v>
      </c>
      <c r="U11" s="32">
        <f t="shared" si="3"/>
        <v>1005471.586715867</v>
      </c>
      <c r="V11" s="29"/>
      <c r="W11" s="30">
        <f t="shared" si="6"/>
        <v>5312610.2583025824</v>
      </c>
      <c r="X11" s="30"/>
      <c r="Y11" s="30"/>
      <c r="Z11" s="30" t="str">
        <f>IF(ISNUMBER(Y11),(Y11-#REF!)/#REF!,"")</f>
        <v/>
      </c>
      <c r="AA11" s="28">
        <f t="shared" si="1"/>
        <v>77831339.556715861</v>
      </c>
      <c r="AB11" s="29"/>
      <c r="AC11" s="30">
        <f>SUM(AA6:AA11)</f>
        <v>451198234.67430258</v>
      </c>
      <c r="AD11" s="30"/>
      <c r="AE11" s="30"/>
      <c r="AF11" s="30" t="str">
        <f>IF(ISNUMBER(AE11),(AE11-#REF!)/#REF!,"")</f>
        <v/>
      </c>
      <c r="AH11" s="37"/>
    </row>
    <row r="12" spans="2:38" s="9" customFormat="1" ht="14.5" hidden="1" x14ac:dyDescent="0.35">
      <c r="B12" s="20">
        <v>2016</v>
      </c>
      <c r="C12" s="14" t="s">
        <v>27</v>
      </c>
      <c r="D12" s="27">
        <v>29017709.59</v>
      </c>
      <c r="E12" s="27">
        <v>3307804.7</v>
      </c>
      <c r="F12" s="28">
        <f t="shared" si="2"/>
        <v>32325514.289999999</v>
      </c>
      <c r="G12" s="29"/>
      <c r="H12" s="30">
        <f t="shared" si="4"/>
        <v>187387230.45599997</v>
      </c>
      <c r="I12" s="30"/>
      <c r="J12" s="30"/>
      <c r="K12" s="30" t="str">
        <f>IF(ISNUMBER(J12),(J12-#REF!)/#REF!,"")</f>
        <v/>
      </c>
      <c r="L12" s="27">
        <v>48675335.550000004</v>
      </c>
      <c r="M12" s="27">
        <v>1820254.55</v>
      </c>
      <c r="N12" s="31">
        <f t="shared" si="0"/>
        <v>50495590.100000001</v>
      </c>
      <c r="O12" s="29"/>
      <c r="P12" s="30">
        <f t="shared" si="5"/>
        <v>341319498.35000002</v>
      </c>
      <c r="Q12" s="30"/>
      <c r="R12" s="30"/>
      <c r="S12" s="30" t="str">
        <f>IF(ISNUMBER(R12),(R12-#REF!)/#REF!,"")</f>
        <v/>
      </c>
      <c r="T12" s="27">
        <v>580674.75</v>
      </c>
      <c r="U12" s="32">
        <f t="shared" si="3"/>
        <v>1071355.627306273</v>
      </c>
      <c r="V12" s="29"/>
      <c r="W12" s="30">
        <f t="shared" si="6"/>
        <v>6383965.8856088556</v>
      </c>
      <c r="X12" s="30"/>
      <c r="Y12" s="30"/>
      <c r="Z12" s="30" t="str">
        <f>IF(ISNUMBER(Y12),(Y12-#REF!)/#REF!,"")</f>
        <v/>
      </c>
      <c r="AA12" s="28">
        <f t="shared" si="1"/>
        <v>83892460.017306268</v>
      </c>
      <c r="AB12" s="29"/>
      <c r="AC12" s="30">
        <f>SUM(AA6:AA12)</f>
        <v>535090694.69160885</v>
      </c>
      <c r="AD12" s="30"/>
      <c r="AE12" s="30"/>
      <c r="AF12" s="30" t="str">
        <f>IF(ISNUMBER(AE12),(AE12-#REF!)/#REF!,"")</f>
        <v/>
      </c>
      <c r="AH12" s="37"/>
    </row>
    <row r="13" spans="2:38" s="9" customFormat="1" ht="14.5" hidden="1" x14ac:dyDescent="0.35">
      <c r="B13" s="20">
        <v>2016</v>
      </c>
      <c r="C13" s="14" t="s">
        <v>28</v>
      </c>
      <c r="D13" s="27">
        <v>27474164.73</v>
      </c>
      <c r="E13" s="27">
        <v>3009319.1599999997</v>
      </c>
      <c r="F13" s="28">
        <f t="shared" si="2"/>
        <v>30483483.890000001</v>
      </c>
      <c r="G13" s="29"/>
      <c r="H13" s="30">
        <f t="shared" si="4"/>
        <v>217870714.34599996</v>
      </c>
      <c r="I13" s="30"/>
      <c r="J13" s="30"/>
      <c r="K13" s="30" t="str">
        <f>IF(ISNUMBER(J13),(J13-#REF!)/#REF!,"")</f>
        <v/>
      </c>
      <c r="L13" s="27">
        <v>51756985.249999993</v>
      </c>
      <c r="M13" s="27">
        <v>2114130.8200000003</v>
      </c>
      <c r="N13" s="31">
        <f t="shared" si="0"/>
        <v>53871116.069999993</v>
      </c>
      <c r="O13" s="29"/>
      <c r="P13" s="30">
        <f t="shared" si="5"/>
        <v>395190614.42000002</v>
      </c>
      <c r="Q13" s="30"/>
      <c r="R13" s="30"/>
      <c r="S13" s="30" t="str">
        <f>IF(ISNUMBER(R13),(R13-#REF!)/#REF!,"")</f>
        <v/>
      </c>
      <c r="T13" s="27">
        <v>597757.49</v>
      </c>
      <c r="U13" s="32">
        <f t="shared" si="3"/>
        <v>1102873.5977859779</v>
      </c>
      <c r="V13" s="29"/>
      <c r="W13" s="30">
        <f t="shared" si="6"/>
        <v>7486839.4833948333</v>
      </c>
      <c r="X13" s="30"/>
      <c r="Y13" s="30"/>
      <c r="Z13" s="30" t="str">
        <f>IF(ISNUMBER(Y13),(Y13-#REF!)/#REF!,"")</f>
        <v/>
      </c>
      <c r="AA13" s="28">
        <f t="shared" si="1"/>
        <v>85457473.557785973</v>
      </c>
      <c r="AB13" s="29"/>
      <c r="AC13" s="30">
        <f>SUM(AA6:AA13)</f>
        <v>620548168.24939477</v>
      </c>
      <c r="AD13" s="30"/>
      <c r="AE13" s="30"/>
      <c r="AF13" s="30" t="str">
        <f>IF(ISNUMBER(AE13),(AE13-#REF!)/#REF!,"")</f>
        <v/>
      </c>
      <c r="AH13" s="37"/>
    </row>
    <row r="14" spans="2:38" s="9" customFormat="1" ht="14.5" hidden="1" x14ac:dyDescent="0.35">
      <c r="B14" s="20">
        <v>2016</v>
      </c>
      <c r="C14" s="14" t="s">
        <v>29</v>
      </c>
      <c r="D14" s="27">
        <v>25541430.190000001</v>
      </c>
      <c r="E14" s="27">
        <v>2655828.59</v>
      </c>
      <c r="F14" s="28">
        <f t="shared" si="2"/>
        <v>28197258.780000001</v>
      </c>
      <c r="G14" s="29"/>
      <c r="H14" s="30">
        <f t="shared" si="4"/>
        <v>246067973.12599996</v>
      </c>
      <c r="I14" s="30"/>
      <c r="J14" s="30"/>
      <c r="K14" s="30" t="str">
        <f>IF(ISNUMBER(J14),(J14-#REF!)/#REF!,"")</f>
        <v/>
      </c>
      <c r="L14" s="27">
        <v>51127748.220000006</v>
      </c>
      <c r="M14" s="27">
        <v>1839762.23</v>
      </c>
      <c r="N14" s="31">
        <f t="shared" si="0"/>
        <v>52967510.450000003</v>
      </c>
      <c r="O14" s="29"/>
      <c r="P14" s="30">
        <f t="shared" si="5"/>
        <v>448158124.87</v>
      </c>
      <c r="Q14" s="30"/>
      <c r="R14" s="30"/>
      <c r="S14" s="30" t="str">
        <f>IF(ISNUMBER(R14),(R14-#REF!)/#REF!,"")</f>
        <v/>
      </c>
      <c r="T14" s="27">
        <v>538391.44999999995</v>
      </c>
      <c r="U14" s="32">
        <f t="shared" si="3"/>
        <v>993342.15867158654</v>
      </c>
      <c r="V14" s="29"/>
      <c r="W14" s="30">
        <f t="shared" si="6"/>
        <v>8480181.6420664191</v>
      </c>
      <c r="X14" s="30"/>
      <c r="Y14" s="30"/>
      <c r="Z14" s="30" t="str">
        <f>IF(ISNUMBER(Y14),(Y14-#REF!)/#REF!,"")</f>
        <v/>
      </c>
      <c r="AA14" s="28">
        <f t="shared" si="1"/>
        <v>82158111.388671592</v>
      </c>
      <c r="AB14" s="29"/>
      <c r="AC14" s="30">
        <f>SUM(AA6:AA14)</f>
        <v>702706279.63806641</v>
      </c>
      <c r="AD14" s="30"/>
      <c r="AE14" s="30"/>
      <c r="AF14" s="30" t="str">
        <f>IF(ISNUMBER(AE14),(AE14-#REF!)/#REF!,"")</f>
        <v/>
      </c>
      <c r="AH14" s="38"/>
      <c r="AI14" s="38"/>
      <c r="AJ14" s="38"/>
      <c r="AK14" s="38"/>
      <c r="AL14" s="38"/>
    </row>
    <row r="15" spans="2:38" s="9" customFormat="1" ht="14.5" hidden="1" x14ac:dyDescent="0.35">
      <c r="B15" s="20">
        <v>2016</v>
      </c>
      <c r="C15" s="14" t="s">
        <v>30</v>
      </c>
      <c r="D15" s="27">
        <v>23853673.34</v>
      </c>
      <c r="E15" s="27">
        <v>2521986.9300000002</v>
      </c>
      <c r="F15" s="28">
        <f t="shared" si="2"/>
        <v>26375660.27</v>
      </c>
      <c r="G15" s="29"/>
      <c r="H15" s="30">
        <f t="shared" si="4"/>
        <v>272443633.39599997</v>
      </c>
      <c r="I15" s="30"/>
      <c r="J15" s="30"/>
      <c r="K15" s="30" t="str">
        <f>IF(ISNUMBER(J15),(J15-#REF!)/#REF!,"")</f>
        <v/>
      </c>
      <c r="L15" s="27">
        <v>49687628.220000006</v>
      </c>
      <c r="M15" s="27">
        <v>1751228.69</v>
      </c>
      <c r="N15" s="31">
        <f t="shared" si="0"/>
        <v>51438856.910000004</v>
      </c>
      <c r="O15" s="29"/>
      <c r="P15" s="30">
        <f t="shared" si="5"/>
        <v>499596981.78000003</v>
      </c>
      <c r="Q15" s="30"/>
      <c r="R15" s="30"/>
      <c r="S15" s="30" t="str">
        <f>IF(ISNUMBER(R15),(R15-#REF!)/#REF!,"")</f>
        <v/>
      </c>
      <c r="T15" s="27">
        <v>543400.36717999994</v>
      </c>
      <c r="U15" s="32">
        <f t="shared" si="3"/>
        <v>1002583.7032841326</v>
      </c>
      <c r="V15" s="29"/>
      <c r="W15" s="30">
        <f t="shared" si="6"/>
        <v>9482765.3453505524</v>
      </c>
      <c r="X15" s="30"/>
      <c r="Y15" s="30"/>
      <c r="Z15" s="30" t="str">
        <f>IF(ISNUMBER(Y15),(Y15-#REF!)/#REF!,"")</f>
        <v/>
      </c>
      <c r="AA15" s="28">
        <f t="shared" si="1"/>
        <v>78817100.883284137</v>
      </c>
      <c r="AB15" s="29"/>
      <c r="AC15" s="30">
        <f>SUM(AA6:AA15)</f>
        <v>781523380.5213505</v>
      </c>
      <c r="AD15" s="30"/>
      <c r="AE15" s="30"/>
      <c r="AF15" s="30" t="str">
        <f>IF(ISNUMBER(AE15),(AE15-#REF!)/#REF!,"")</f>
        <v/>
      </c>
      <c r="AH15" s="39"/>
      <c r="AI15" s="39"/>
      <c r="AJ15" s="39"/>
      <c r="AK15" s="39"/>
      <c r="AL15" s="39"/>
    </row>
    <row r="16" spans="2:38" s="9" customFormat="1" ht="14.5" hidden="1" x14ac:dyDescent="0.35">
      <c r="B16" s="20">
        <v>2016</v>
      </c>
      <c r="C16" s="14" t="s">
        <v>31</v>
      </c>
      <c r="D16" s="27">
        <v>21860345.280000001</v>
      </c>
      <c r="E16" s="27">
        <v>2184606.8800000004</v>
      </c>
      <c r="F16" s="28">
        <f t="shared" si="2"/>
        <v>24044952.16</v>
      </c>
      <c r="G16" s="29"/>
      <c r="H16" s="30">
        <f t="shared" si="4"/>
        <v>296488585.55599999</v>
      </c>
      <c r="I16" s="30"/>
      <c r="J16" s="30"/>
      <c r="K16" s="30" t="str">
        <f>IF(ISNUMBER(J16),(J16-#REF!)/#REF!,"")</f>
        <v/>
      </c>
      <c r="L16" s="27">
        <v>47560955.979000002</v>
      </c>
      <c r="M16" s="27">
        <v>1735183.98</v>
      </c>
      <c r="N16" s="31">
        <f t="shared" si="0"/>
        <v>49296139.958999999</v>
      </c>
      <c r="O16" s="29"/>
      <c r="P16" s="30">
        <f t="shared" si="5"/>
        <v>548893121.73900008</v>
      </c>
      <c r="Q16" s="30"/>
      <c r="R16" s="30"/>
      <c r="S16" s="30" t="str">
        <f>IF(ISNUMBER(R16),(R16-#REF!)/#REF!,"")</f>
        <v/>
      </c>
      <c r="T16" s="27">
        <v>482007.12699999998</v>
      </c>
      <c r="U16" s="32">
        <f t="shared" si="3"/>
        <v>889312.04243542429</v>
      </c>
      <c r="V16" s="29"/>
      <c r="W16" s="30">
        <f t="shared" si="6"/>
        <v>10372077.387785977</v>
      </c>
      <c r="X16" s="30"/>
      <c r="Y16" s="30"/>
      <c r="Z16" s="30" t="str">
        <f>IF(ISNUMBER(Y16),(Y16-#REF!)/#REF!,"")</f>
        <v/>
      </c>
      <c r="AA16" s="28">
        <f t="shared" si="1"/>
        <v>74230404.161435425</v>
      </c>
      <c r="AB16" s="29"/>
      <c r="AC16" s="30">
        <f>SUM(AA6:AA16)</f>
        <v>855753784.68278599</v>
      </c>
      <c r="AD16" s="30"/>
      <c r="AE16" s="30"/>
      <c r="AF16" s="30" t="str">
        <f>IF(ISNUMBER(AE16),(AE16-#REF!)/#REF!,"")</f>
        <v/>
      </c>
      <c r="AH16" s="37"/>
    </row>
    <row r="17" spans="2:36" s="9" customFormat="1" ht="14.5" hidden="1" x14ac:dyDescent="0.35">
      <c r="B17" s="20">
        <v>2016</v>
      </c>
      <c r="C17" s="14" t="s">
        <v>32</v>
      </c>
      <c r="D17" s="27">
        <v>22585431.57</v>
      </c>
      <c r="E17" s="27">
        <v>2296146.4499999997</v>
      </c>
      <c r="F17" s="28">
        <f t="shared" si="2"/>
        <v>24881578.02</v>
      </c>
      <c r="G17" s="29"/>
      <c r="H17" s="30">
        <f t="shared" si="4"/>
        <v>321370163.57599998</v>
      </c>
      <c r="I17" s="30"/>
      <c r="J17" s="30">
        <f>IF(ISNUMBER(F17),F17+F16+F15+F14+F13+F12+F11+F10+F9+F8+F7+F6,"")</f>
        <v>321370163.57599998</v>
      </c>
      <c r="K17" s="30"/>
      <c r="L17" s="27">
        <v>43539346.24000001</v>
      </c>
      <c r="M17" s="27">
        <v>1589507.23</v>
      </c>
      <c r="N17" s="31">
        <f t="shared" si="0"/>
        <v>45128853.470000006</v>
      </c>
      <c r="O17" s="29"/>
      <c r="P17" s="30">
        <f t="shared" si="5"/>
        <v>594021975.20900011</v>
      </c>
      <c r="Q17" s="30"/>
      <c r="R17" s="30">
        <f>IF(ISNUMBER(N17),N17+N16+N15+N14+N13+N12+N11+N10+N9+N8+N7+N6,"")</f>
        <v>594021975.20899999</v>
      </c>
      <c r="S17" s="30"/>
      <c r="T17" s="27">
        <v>484698.45299999998</v>
      </c>
      <c r="U17" s="32">
        <f>T17/$U$4</f>
        <v>894277.58856088552</v>
      </c>
      <c r="V17" s="29"/>
      <c r="W17" s="30">
        <f t="shared" si="6"/>
        <v>11266354.976346862</v>
      </c>
      <c r="X17" s="30"/>
      <c r="Y17" s="30">
        <f>IF(ISNUMBER(U17),U17+U16+U15+U14+U13+U12+U11+U10+U9+U8+U7+U6,"")</f>
        <v>11266354.976346863</v>
      </c>
      <c r="Z17" s="30"/>
      <c r="AA17" s="28">
        <f t="shared" si="1"/>
        <v>70904709.078560889</v>
      </c>
      <c r="AB17" s="29"/>
      <c r="AC17" s="30">
        <f>SUM(AA6:AA17)</f>
        <v>926658493.76134682</v>
      </c>
      <c r="AD17" s="30"/>
      <c r="AE17" s="30">
        <f>IF(ISNUMBER(AA17),AA17+AA16+AA15+AA14+AA13+AA12+AA11+AA10+AA9+AA8+AA7+AA6,"")</f>
        <v>926658493.76134682</v>
      </c>
      <c r="AF17" s="30"/>
      <c r="AH17" s="37"/>
    </row>
    <row r="18" spans="2:36" s="9" customFormat="1" ht="14.5" hidden="1" x14ac:dyDescent="0.35">
      <c r="B18" s="19">
        <v>2016</v>
      </c>
      <c r="C18" s="15" t="s">
        <v>33</v>
      </c>
      <c r="D18" s="34">
        <f>SUM(D6:D17)</f>
        <v>290230068.366</v>
      </c>
      <c r="E18" s="34">
        <f>SUM(E6:E17)</f>
        <v>31140095.209999997</v>
      </c>
      <c r="F18" s="34">
        <f>SUM(F6:F17)</f>
        <v>321370163.57599998</v>
      </c>
      <c r="G18" s="35"/>
      <c r="H18" s="35"/>
      <c r="I18" s="35"/>
      <c r="J18" s="35"/>
      <c r="K18" s="35" t="str">
        <f>IF(ISNUMBER(J18),(J18-#REF!)/#REF!,"")</f>
        <v/>
      </c>
      <c r="L18" s="34">
        <f>SUM(L6:L17)</f>
        <v>573668928.81900012</v>
      </c>
      <c r="M18" s="34">
        <f>SUM(M6:M17)</f>
        <v>20353046.390000004</v>
      </c>
      <c r="N18" s="34">
        <f>SUM(N6:N17)</f>
        <v>594021975.20900011</v>
      </c>
      <c r="O18" s="35"/>
      <c r="P18" s="35"/>
      <c r="Q18" s="35"/>
      <c r="R18" s="35"/>
      <c r="S18" s="35"/>
      <c r="T18" s="34">
        <f>SUM(T6:T17)</f>
        <v>6106364.3971800003</v>
      </c>
      <c r="U18" s="34">
        <f>SUM(U6:U17)</f>
        <v>11266354.976346862</v>
      </c>
      <c r="V18" s="35"/>
      <c r="W18" s="35"/>
      <c r="X18" s="35"/>
      <c r="Y18" s="35"/>
      <c r="Z18" s="35"/>
      <c r="AA18" s="34">
        <f t="shared" si="1"/>
        <v>926658493.76134694</v>
      </c>
      <c r="AB18" s="35"/>
      <c r="AC18" s="35"/>
      <c r="AD18" s="35"/>
      <c r="AE18" s="35"/>
      <c r="AF18" s="35"/>
      <c r="AH18" s="37"/>
    </row>
    <row r="19" spans="2:36" ht="14.5" hidden="1" x14ac:dyDescent="0.35">
      <c r="B19" s="14">
        <v>2017</v>
      </c>
      <c r="C19" s="14" t="s">
        <v>20</v>
      </c>
      <c r="D19" s="27">
        <v>21459273.00999999</v>
      </c>
      <c r="E19" s="27">
        <v>2136166.39</v>
      </c>
      <c r="F19" s="28">
        <f t="shared" si="2"/>
        <v>23595439.399999991</v>
      </c>
      <c r="G19" s="13">
        <f>IF(ISNUMBER(F19),(F19-F6)/F6,"")</f>
        <v>-9.7425705838034504E-2</v>
      </c>
      <c r="H19" s="30">
        <f>IF(F19&gt;0,F19,"")</f>
        <v>23595439.399999991</v>
      </c>
      <c r="I19" s="11">
        <f t="shared" ref="I19:I25" si="7">IF(ISNUMBER(H19),(H19-H6)/H6,"")</f>
        <v>-9.7425705838034504E-2</v>
      </c>
      <c r="J19" s="30">
        <f>IF(ISNUMBER(F19),F19+F17+F16+F15+F14+F13+F12+F11+F10+F9+F8+F7,"")</f>
        <v>318823223.83599997</v>
      </c>
      <c r="K19" s="11"/>
      <c r="L19" s="27">
        <v>44639125.009999998</v>
      </c>
      <c r="M19" s="27">
        <v>1816321.46</v>
      </c>
      <c r="N19" s="28">
        <f>IF((L19+M19)&gt;0,L19+M19,"")</f>
        <v>46455446.469999999</v>
      </c>
      <c r="O19" s="13">
        <f t="shared" ref="O19:O25" si="8">IF(ISNUMBER(N19),(N19-N6)/N6,"")</f>
        <v>-0.13403365249298291</v>
      </c>
      <c r="P19" s="30">
        <f>N19</f>
        <v>46455446.469999999</v>
      </c>
      <c r="Q19" s="11">
        <f t="shared" ref="Q19:Q25" si="9">IF(ISNUMBER(N19),(P19-P6)/P6,"")</f>
        <v>-0.13403365249298291</v>
      </c>
      <c r="R19" s="30">
        <f>IF(ISNUMBER(N19),N19+N17+N16+N15+N14+N13+N12+N11+N10+N9+N8+N7,"")</f>
        <v>586831634.39900005</v>
      </c>
      <c r="S19" s="30"/>
      <c r="T19" s="27">
        <v>466869.11800000002</v>
      </c>
      <c r="U19" s="32">
        <f t="shared" ref="U19:U25" si="10">IF(ISNUMBER(T19),T19/$U$4,"")</f>
        <v>861382.13653136534</v>
      </c>
      <c r="V19" s="13">
        <f t="shared" ref="V19:V25" si="11">IF(ISNUMBER(U19),(U19-U6)/U6,"")</f>
        <v>3.5601351973941667E-2</v>
      </c>
      <c r="W19" s="30">
        <f t="shared" ref="W19:W25" si="12">IF(ISNUMBER(U19),W18+U19,"")</f>
        <v>861382.13653136534</v>
      </c>
      <c r="X19" s="11">
        <f t="shared" ref="X19:X25" si="13">IF(ISNUMBER(U19),(W19-W6)/W6,"")</f>
        <v>3.5601351973941667E-2</v>
      </c>
      <c r="Y19" s="30">
        <f>IF(ISNUMBER(U19),U19+U17+U16+U15+U14+U13+U12+U11+U10+U9+U8+U7,"")</f>
        <v>11295967.112878229</v>
      </c>
      <c r="Z19" s="30"/>
      <c r="AA19" s="28">
        <f t="shared" si="1"/>
        <v>70912268.006531358</v>
      </c>
      <c r="AB19" s="13">
        <f>IF(ISNUMBER(AA19),(AA19-AA6)/AA6,"")</f>
        <v>-0.12041275203809747</v>
      </c>
      <c r="AC19" s="30">
        <f>IF(ISNUMBER(AA19),AA19,"")</f>
        <v>70912268.006531358</v>
      </c>
      <c r="AD19" s="11">
        <f t="shared" ref="AD19:AD25" si="14">IF(ISNUMBER(AA19),(AC19-AC6)/AC6,"")</f>
        <v>-0.12041275203809747</v>
      </c>
      <c r="AE19" s="30">
        <f>IF(ISNUMBER(AA19),AA19+AA17+AA16+AA15+AA14+AA13+AA12+AA11+AA10+AA9+AA8+AA7,"")</f>
        <v>916950825.34787822</v>
      </c>
      <c r="AF19" s="11"/>
      <c r="AH19" s="37"/>
    </row>
    <row r="20" spans="2:36" ht="14.5" hidden="1" x14ac:dyDescent="0.35">
      <c r="B20" s="14">
        <v>2017</v>
      </c>
      <c r="C20" s="14" t="s">
        <v>22</v>
      </c>
      <c r="D20" s="27">
        <v>19361969.899999999</v>
      </c>
      <c r="E20" s="27">
        <v>1903417.7999999998</v>
      </c>
      <c r="F20" s="28">
        <f t="shared" si="2"/>
        <v>21265387.699999999</v>
      </c>
      <c r="G20" s="13">
        <f t="shared" ref="G20:G25" si="15">IF(ISNUMBER(F20),(F20-F7)/F7,"")</f>
        <v>4.2643949405654191E-2</v>
      </c>
      <c r="H20" s="30">
        <f t="shared" ref="H20:H25" si="16">IF(ISNUMBER(F20),F20+H19,"")</f>
        <v>44860827.099999994</v>
      </c>
      <c r="I20" s="11">
        <f t="shared" si="7"/>
        <v>-3.6039121402757855E-2</v>
      </c>
      <c r="J20" s="30">
        <f>IF(ISNUMBER(F20),F20+F19+F17+F16+F15+F14+F13+F12+F11+F10+F9+F8,"")</f>
        <v>319692974.35599995</v>
      </c>
      <c r="K20" s="11"/>
      <c r="L20" s="27">
        <v>41144662.890000001</v>
      </c>
      <c r="M20" s="27">
        <v>1508945.5899999999</v>
      </c>
      <c r="N20" s="28">
        <f t="shared" ref="N20:N25" si="17">IF((L20+M20)&gt;0,L20+M20,"")</f>
        <v>42653608.480000004</v>
      </c>
      <c r="O20" s="13">
        <f t="shared" si="8"/>
        <v>-4.7465111393931371E-2</v>
      </c>
      <c r="P20" s="30">
        <f t="shared" ref="P20:P25" si="18">P19+N20</f>
        <v>89109054.950000003</v>
      </c>
      <c r="Q20" s="11">
        <f t="shared" si="9"/>
        <v>-9.4648704640936512E-2</v>
      </c>
      <c r="R20" s="30">
        <f>IF(ISNUMBER(N20),N20+N19+N17+N16+N15+N14+N13+N12+N11+N10+N9+N8,"")</f>
        <v>584706191.74900007</v>
      </c>
      <c r="S20" s="30"/>
      <c r="T20" s="27">
        <v>441327.05899999995</v>
      </c>
      <c r="U20" s="32">
        <f t="shared" si="10"/>
        <v>814256.56642066408</v>
      </c>
      <c r="V20" s="13">
        <f t="shared" si="11"/>
        <v>7.3881769630154234E-2</v>
      </c>
      <c r="W20" s="30">
        <f t="shared" si="12"/>
        <v>1675638.7029520294</v>
      </c>
      <c r="X20" s="11">
        <f t="shared" si="13"/>
        <v>5.3856380400263471E-2</v>
      </c>
      <c r="Y20" s="30">
        <f>IF(ISNUMBER(U20),U20+U19+U17+U16+U15+U14+U13+U12+U11+U10+U9+U8,"")</f>
        <v>11351986.981881918</v>
      </c>
      <c r="Z20" s="30"/>
      <c r="AA20" s="28">
        <f t="shared" si="1"/>
        <v>64733252.746420674</v>
      </c>
      <c r="AB20" s="13">
        <f t="shared" ref="AB20:AB25" si="19">IF(ISNUMBER(AA20),(AA20-AA7)/AA7,"")</f>
        <v>-1.8195344144998116E-2</v>
      </c>
      <c r="AC20" s="30">
        <f t="shared" ref="AC20:AC30" si="20">IF(ISNUMBER(AA20),AC19+AA20,"")</f>
        <v>135645520.75295204</v>
      </c>
      <c r="AD20" s="11">
        <f t="shared" si="14"/>
        <v>-7.4425982326295298E-2</v>
      </c>
      <c r="AE20" s="30">
        <f>IF(ISNUMBER(AA20),AA20+AA19+AA17+AA16+AA15+AA14+AA13+AA12+AA11+AA10+AA9+AA8,"")</f>
        <v>915751153.08688188</v>
      </c>
      <c r="AF20" s="11"/>
      <c r="AH20" s="37"/>
    </row>
    <row r="21" spans="2:36" ht="14.5" hidden="1" x14ac:dyDescent="0.35">
      <c r="B21" s="14">
        <v>2017</v>
      </c>
      <c r="C21" s="14" t="s">
        <v>23</v>
      </c>
      <c r="D21" s="27">
        <v>22026126.659999996</v>
      </c>
      <c r="E21" s="27">
        <v>2105121.17</v>
      </c>
      <c r="F21" s="28">
        <f t="shared" si="2"/>
        <v>24131247.829999998</v>
      </c>
      <c r="G21" s="13">
        <f t="shared" si="15"/>
        <v>-8.1730982995342379E-3</v>
      </c>
      <c r="H21" s="30">
        <f t="shared" si="16"/>
        <v>68992074.929999992</v>
      </c>
      <c r="I21" s="11">
        <f t="shared" si="7"/>
        <v>-2.6472292675135869E-2</v>
      </c>
      <c r="J21" s="30">
        <f>IF(ISNUMBER(F21),F21+F20+F19+F17+F16+F15+F14+F13+F12+F11+F10+F9,"")</f>
        <v>319494122.05599999</v>
      </c>
      <c r="K21" s="11"/>
      <c r="L21" s="27">
        <v>47556582.340000004</v>
      </c>
      <c r="M21" s="27">
        <v>1565030.64</v>
      </c>
      <c r="N21" s="28">
        <f t="shared" si="17"/>
        <v>49121612.980000004</v>
      </c>
      <c r="O21" s="13">
        <f t="shared" si="8"/>
        <v>2.1638671170337218E-2</v>
      </c>
      <c r="P21" s="30">
        <f t="shared" si="18"/>
        <v>138230667.93000001</v>
      </c>
      <c r="Q21" s="11">
        <f t="shared" si="9"/>
        <v>-5.6484840462492178E-2</v>
      </c>
      <c r="R21" s="30">
        <f>IF(ISNUMBER(N21),N21+N20+N19+N17+N16+N15+N14+N13+N12+N11+N10+N9,"")</f>
        <v>585746605.01899993</v>
      </c>
      <c r="S21" s="30"/>
      <c r="T21" s="27">
        <v>538842.049</v>
      </c>
      <c r="U21" s="32">
        <f t="shared" si="10"/>
        <v>994173.52214022132</v>
      </c>
      <c r="V21" s="13">
        <f t="shared" si="11"/>
        <v>0.17185214415570765</v>
      </c>
      <c r="W21" s="30">
        <f t="shared" si="12"/>
        <v>2669812.2250922509</v>
      </c>
      <c r="X21" s="11">
        <f t="shared" si="13"/>
        <v>9.4910200364938233E-2</v>
      </c>
      <c r="Y21" s="30">
        <f>IF(ISNUMBER(U21),U21+U20+U19+U17+U16+U15+U14+U13+U12+U11+U10+U9,"")</f>
        <v>11497782.551992619</v>
      </c>
      <c r="Z21" s="30"/>
      <c r="AA21" s="28">
        <f t="shared" si="1"/>
        <v>74247034.332140222</v>
      </c>
      <c r="AB21" s="13">
        <f t="shared" si="19"/>
        <v>1.3477489525870046E-2</v>
      </c>
      <c r="AC21" s="30">
        <f t="shared" si="20"/>
        <v>209892555.08509225</v>
      </c>
      <c r="AD21" s="11">
        <f t="shared" si="14"/>
        <v>-4.5129291393384972E-2</v>
      </c>
      <c r="AE21" s="30">
        <f>IF(ISNUMBER(AA21),AA21+AA20+AA19+AA17+AA16+AA15+AA14+AA13+AA12+AA11+AA10+AA9,"")</f>
        <v>916738509.62699258</v>
      </c>
      <c r="AF21" s="11"/>
      <c r="AH21" s="37"/>
    </row>
    <row r="22" spans="2:36" ht="14.5" hidden="1" x14ac:dyDescent="0.35">
      <c r="B22" s="14">
        <v>2017</v>
      </c>
      <c r="C22" s="14" t="s">
        <v>24</v>
      </c>
      <c r="D22" s="27">
        <v>22820443.210000005</v>
      </c>
      <c r="E22" s="27">
        <v>2266846.1999999997</v>
      </c>
      <c r="F22" s="28">
        <f t="shared" si="2"/>
        <v>25087289.410000004</v>
      </c>
      <c r="G22" s="13">
        <f t="shared" si="15"/>
        <v>-1.2904625800800268E-2</v>
      </c>
      <c r="H22" s="30">
        <f t="shared" si="16"/>
        <v>94079364.340000004</v>
      </c>
      <c r="I22" s="11">
        <f t="shared" si="7"/>
        <v>-2.2890928657115988E-2</v>
      </c>
      <c r="J22" s="30">
        <f>IF(ISNUMBER(F22),F22+F21+F20+F19+F17+F16+F15+F14+F13+F12+F11+F10,"")</f>
        <v>319166147.58599997</v>
      </c>
      <c r="K22" s="11"/>
      <c r="L22" s="27">
        <v>45686040.930000007</v>
      </c>
      <c r="M22" s="27">
        <v>1580157</v>
      </c>
      <c r="N22" s="28">
        <f t="shared" si="17"/>
        <v>47266197.930000007</v>
      </c>
      <c r="O22" s="13">
        <f t="shared" si="8"/>
        <v>1.4726447550464669E-2</v>
      </c>
      <c r="P22" s="30">
        <f t="shared" si="18"/>
        <v>185496865.86000001</v>
      </c>
      <c r="Q22" s="11">
        <f t="shared" si="9"/>
        <v>-3.9305791124460074E-2</v>
      </c>
      <c r="R22" s="30">
        <f>IF(ISNUMBER(N22),N22+N21+N20+N19+N17+N16+N15+N14+N13+N12+N11+N10,"")</f>
        <v>586432566.42900002</v>
      </c>
      <c r="S22" s="30"/>
      <c r="T22" s="27">
        <v>532361.5</v>
      </c>
      <c r="U22" s="32">
        <f t="shared" si="10"/>
        <v>982216.78966789658</v>
      </c>
      <c r="V22" s="13">
        <f t="shared" si="11"/>
        <v>0.1095548060401078</v>
      </c>
      <c r="W22" s="30">
        <f t="shared" si="12"/>
        <v>3652029.0147601473</v>
      </c>
      <c r="X22" s="11">
        <f t="shared" si="13"/>
        <v>9.881074232480945E-2</v>
      </c>
      <c r="Y22" s="30">
        <f>IF(ISNUMBER(U22),U22+U21+U20+U19+U17+U16+U15+U14+U13+U12+U11+U10,"")</f>
        <v>11594764.304760147</v>
      </c>
      <c r="Z22" s="30"/>
      <c r="AA22" s="28">
        <f t="shared" si="1"/>
        <v>73335704.129667893</v>
      </c>
      <c r="AB22" s="13">
        <f t="shared" si="19"/>
        <v>6.2426468399380992E-3</v>
      </c>
      <c r="AC22" s="30">
        <f t="shared" si="20"/>
        <v>283228259.21476012</v>
      </c>
      <c r="AD22" s="11">
        <f t="shared" si="14"/>
        <v>-3.2337659458351653E-2</v>
      </c>
      <c r="AE22" s="30">
        <f>IF(ISNUMBER(AA22),AA22+AA21+AA20+AA19+AA17+AA16+AA15+AA14+AA13+AA12+AA11+AA10,"")</f>
        <v>917193478.3197602</v>
      </c>
      <c r="AF22" s="11"/>
      <c r="AH22" s="37"/>
    </row>
    <row r="23" spans="2:36" ht="14.5" hidden="1" x14ac:dyDescent="0.35">
      <c r="B23" s="14">
        <v>2017</v>
      </c>
      <c r="C23" s="14" t="s">
        <v>25</v>
      </c>
      <c r="D23" s="27">
        <v>25946295.789999995</v>
      </c>
      <c r="E23" s="27">
        <v>2639559.96</v>
      </c>
      <c r="F23" s="28">
        <f t="shared" si="2"/>
        <v>28585855.749999996</v>
      </c>
      <c r="G23" s="13">
        <f t="shared" si="15"/>
        <v>-2.9557478992658526E-2</v>
      </c>
      <c r="H23" s="30">
        <f t="shared" si="16"/>
        <v>122665220.09</v>
      </c>
      <c r="I23" s="11">
        <f t="shared" si="7"/>
        <v>-2.4452671213746044E-2</v>
      </c>
      <c r="J23" s="30">
        <f>IF(ISNUMBER(F23),F23+F22+F21+F20+F19+F17+F16+F15+F14+F13+F12+F11,"")</f>
        <v>318295487.23000002</v>
      </c>
      <c r="K23" s="11"/>
      <c r="L23" s="27">
        <v>50837831.599999994</v>
      </c>
      <c r="M23" s="27">
        <v>2309429.2000000002</v>
      </c>
      <c r="N23" s="28">
        <f t="shared" si="17"/>
        <v>53147260.799999997</v>
      </c>
      <c r="O23" s="13">
        <f t="shared" si="8"/>
        <v>5.8002537715336477E-2</v>
      </c>
      <c r="P23" s="30">
        <f t="shared" si="18"/>
        <v>238644126.66000003</v>
      </c>
      <c r="Q23" s="11">
        <f t="shared" si="9"/>
        <v>-1.9216406543254631E-2</v>
      </c>
      <c r="R23" s="30">
        <f>IF(ISNUMBER(N23),N23+N22+N21+N20+N19+N17+N16+N15+N14+N13+N12+N11,"")</f>
        <v>589346241.85899997</v>
      </c>
      <c r="S23" s="30"/>
      <c r="T23" s="27">
        <v>580185.56000000006</v>
      </c>
      <c r="U23" s="32">
        <f t="shared" si="10"/>
        <v>1070453.0627306274</v>
      </c>
      <c r="V23" s="13">
        <f t="shared" si="11"/>
        <v>8.8390848367379662E-2</v>
      </c>
      <c r="W23" s="30">
        <f t="shared" si="12"/>
        <v>4722482.0774907749</v>
      </c>
      <c r="X23" s="11">
        <f t="shared" si="13"/>
        <v>9.643139856257521E-2</v>
      </c>
      <c r="Y23" s="30">
        <f>IF(ISNUMBER(U23),U23+U22+U21+U20+U19+U17+U16+U15+U14+U13+U12+U11,"")</f>
        <v>11681698.382250922</v>
      </c>
      <c r="Z23" s="30"/>
      <c r="AA23" s="28">
        <f t="shared" si="1"/>
        <v>82803569.612730622</v>
      </c>
      <c r="AB23" s="13">
        <f t="shared" si="19"/>
        <v>2.6402052360029203E-2</v>
      </c>
      <c r="AC23" s="30">
        <f t="shared" si="20"/>
        <v>366031828.82749075</v>
      </c>
      <c r="AD23" s="11">
        <f t="shared" si="14"/>
        <v>-1.9645732886376836E-2</v>
      </c>
      <c r="AE23" s="30">
        <f>IF(ISNUMBER(AA23),AA23+AA22+AA21+AA20+AA19+AA17+AA16+AA15+AA14+AA13+AA12+AA11,"")</f>
        <v>919323427.47125089</v>
      </c>
      <c r="AF23" s="11"/>
      <c r="AH23" s="37"/>
    </row>
    <row r="24" spans="2:36" ht="14.5" hidden="1" x14ac:dyDescent="0.35">
      <c r="B24" s="14">
        <v>2017</v>
      </c>
      <c r="C24" s="14" t="s">
        <v>26</v>
      </c>
      <c r="D24" s="27">
        <v>26927857.599999998</v>
      </c>
      <c r="E24" s="27">
        <v>2773140.79</v>
      </c>
      <c r="F24" s="28">
        <f>IF((D24+E24)&gt;0,D24+E24,"")</f>
        <v>29700998.389999997</v>
      </c>
      <c r="G24" s="13">
        <f t="shared" si="15"/>
        <v>1.2931621007547762E-2</v>
      </c>
      <c r="H24" s="30">
        <f t="shared" si="16"/>
        <v>152366218.47999999</v>
      </c>
      <c r="I24" s="11">
        <f t="shared" si="7"/>
        <v>-1.7383386129393458E-2</v>
      </c>
      <c r="J24" s="30">
        <f>IF(ISNUMBER(F24),F24+F23+F22+F21+F20+F19+F17+F16+F15+F14+F13+F12,"")</f>
        <v>318674665.89000005</v>
      </c>
      <c r="K24" s="11"/>
      <c r="L24" s="27">
        <v>47386827.529999994</v>
      </c>
      <c r="M24" s="27">
        <v>1739274.2200000002</v>
      </c>
      <c r="N24" s="28">
        <f t="shared" si="17"/>
        <v>49126101.749999993</v>
      </c>
      <c r="O24" s="13">
        <f t="shared" si="8"/>
        <v>3.4145584852159495E-2</v>
      </c>
      <c r="P24" s="30">
        <f t="shared" si="18"/>
        <v>287770228.41000003</v>
      </c>
      <c r="Q24" s="11">
        <f t="shared" si="9"/>
        <v>-1.0500099040602085E-2</v>
      </c>
      <c r="R24" s="30">
        <f>IF(ISNUMBER(N24),N24+N23+N22+N21+N20+N19+N17+N16+N15+N14+N13+N12,"")</f>
        <v>590968295.36900008</v>
      </c>
      <c r="S24" s="30"/>
      <c r="T24" s="27">
        <v>610363.56000000006</v>
      </c>
      <c r="U24" s="32">
        <f t="shared" si="10"/>
        <v>1126132.0295202953</v>
      </c>
      <c r="V24" s="13">
        <f t="shared" si="11"/>
        <v>0.12000383143449814</v>
      </c>
      <c r="W24" s="30">
        <f t="shared" si="12"/>
        <v>5848614.1070110705</v>
      </c>
      <c r="X24" s="11">
        <f t="shared" si="13"/>
        <v>0.10089274813088682</v>
      </c>
      <c r="Y24" s="30">
        <f>IF(ISNUMBER(U24),U24+U23+U22+U21+U20+U19+U17+U16+U15+U14+U13+U12,"")</f>
        <v>11802358.82505535</v>
      </c>
      <c r="Z24" s="30"/>
      <c r="AA24" s="28">
        <f t="shared" si="1"/>
        <v>79953232.169520274</v>
      </c>
      <c r="AB24" s="13">
        <f t="shared" si="19"/>
        <v>2.7262701951290266E-2</v>
      </c>
      <c r="AC24" s="30">
        <f t="shared" si="20"/>
        <v>445985060.99701101</v>
      </c>
      <c r="AD24" s="11">
        <f t="shared" si="14"/>
        <v>-1.1554064880273083E-2</v>
      </c>
      <c r="AE24" s="30">
        <f>IF(ISNUMBER(AA24),AA24+AA23+AA22+AA21+AA20+AA19+AA17+AA16+AA15+AA14+AA13+AA12,"")</f>
        <v>921445320.08405542</v>
      </c>
      <c r="AF24" s="11"/>
      <c r="AH24" s="37"/>
    </row>
    <row r="25" spans="2:36" ht="14.5" hidden="1" x14ac:dyDescent="0.35">
      <c r="B25" s="14">
        <v>2017</v>
      </c>
      <c r="C25" s="14" t="s">
        <v>27</v>
      </c>
      <c r="D25" s="27">
        <v>27971500.251000002</v>
      </c>
      <c r="E25" s="27">
        <v>3071381.6300000004</v>
      </c>
      <c r="F25" s="28">
        <f t="shared" si="2"/>
        <v>31042881.881000001</v>
      </c>
      <c r="G25" s="13">
        <f t="shared" si="15"/>
        <v>-3.967863890712435E-2</v>
      </c>
      <c r="H25" s="30">
        <f t="shared" si="16"/>
        <v>183409100.361</v>
      </c>
      <c r="I25" s="11">
        <f t="shared" si="7"/>
        <v>-2.1229462036016729E-2</v>
      </c>
      <c r="J25" s="30">
        <f>IF(ISNUMBER(F25),F25+F24+F23+F22+F21+F20+F19+F17+F16+F15+F14+F13,"")</f>
        <v>317392033.48099995</v>
      </c>
      <c r="K25" s="11"/>
      <c r="L25" s="27">
        <v>48959660.370999992</v>
      </c>
      <c r="M25" s="27">
        <v>1859349.93</v>
      </c>
      <c r="N25" s="28">
        <f t="shared" si="17"/>
        <v>50819010.300999992</v>
      </c>
      <c r="O25" s="13">
        <f t="shared" si="8"/>
        <v>6.4049197238708992E-3</v>
      </c>
      <c r="P25" s="30">
        <f t="shared" si="18"/>
        <v>338589238.71100003</v>
      </c>
      <c r="Q25" s="11">
        <f t="shared" si="9"/>
        <v>-7.9991317583629588E-3</v>
      </c>
      <c r="R25" s="30">
        <f>IF(ISNUMBER(N25),N25+N24+N23+N22+N21+N20+N19+N17+N16+N15+N14+N13,"")</f>
        <v>591291715.56999993</v>
      </c>
      <c r="S25" s="30"/>
      <c r="T25" s="27">
        <v>815176.50433000003</v>
      </c>
      <c r="U25" s="32">
        <f t="shared" si="10"/>
        <v>1504015.6906457564</v>
      </c>
      <c r="V25" s="13">
        <f t="shared" si="11"/>
        <v>0.40384355326282062</v>
      </c>
      <c r="W25" s="30">
        <f t="shared" si="12"/>
        <v>7352629.7976568267</v>
      </c>
      <c r="X25" s="11">
        <f t="shared" si="13"/>
        <v>0.15173387975515271</v>
      </c>
      <c r="Y25" s="30">
        <f>IF(ISNUMBER(U25),U25+U24+U23+U22+U21+U20+U19+U17+U16+U15+U14+U13,"")</f>
        <v>12235018.888394833</v>
      </c>
      <c r="Z25" s="30"/>
      <c r="AA25" s="28">
        <f t="shared" si="1"/>
        <v>83365907.872645751</v>
      </c>
      <c r="AB25" s="13">
        <f t="shared" si="19"/>
        <v>-6.2765133428188246E-3</v>
      </c>
      <c r="AC25" s="30">
        <f t="shared" si="20"/>
        <v>529350968.86965674</v>
      </c>
      <c r="AD25" s="11">
        <f t="shared" si="14"/>
        <v>-1.0726641070183637E-2</v>
      </c>
      <c r="AE25" s="30">
        <f>IF(ISNUMBER(AA25),AA25+AA24+AA23+AA22+AA21+AA20+AA19+AA17+AA16+AA15+AA14+AA13,"")</f>
        <v>920918767.93939471</v>
      </c>
      <c r="AF25" s="11"/>
      <c r="AH25" s="37"/>
      <c r="AJ25" s="61"/>
    </row>
    <row r="26" spans="2:36" ht="14.5" hidden="1" x14ac:dyDescent="0.35">
      <c r="B26" s="14">
        <v>2017</v>
      </c>
      <c r="C26" s="14" t="s">
        <v>28</v>
      </c>
      <c r="D26" s="27">
        <v>27441543.239999995</v>
      </c>
      <c r="E26" s="27">
        <v>2861993.57</v>
      </c>
      <c r="F26" s="28">
        <f t="shared" si="2"/>
        <v>30303536.809999995</v>
      </c>
      <c r="G26" s="13">
        <f>IF(ISNUMBER(F26),(F26-F13)/F13,"")</f>
        <v>-5.9031008610874909E-3</v>
      </c>
      <c r="H26" s="30">
        <f>IF(ISNUMBER(F26),F26+H25,"")</f>
        <v>213712637.171</v>
      </c>
      <c r="I26" s="11">
        <f>IF(ISNUMBER(H26),(H26-H13)/H13,"")</f>
        <v>-1.9085066974152937E-2</v>
      </c>
      <c r="J26" s="30">
        <f>IF(ISNUMBER(F26),F26+F25+F24+F23+F22+F21+F20+F19+F17+F16+F15+F14,"")</f>
        <v>317212086.4009999</v>
      </c>
      <c r="K26" s="11"/>
      <c r="L26" s="27">
        <v>51904764.870000005</v>
      </c>
      <c r="M26" s="27">
        <v>2114053.9900000002</v>
      </c>
      <c r="N26" s="28">
        <f>IF((L26+M26)&gt;0,L26+M26,"")</f>
        <v>54018818.860000007</v>
      </c>
      <c r="O26" s="13">
        <f>IF(ISNUMBER(N26),(N26-N13)/N13,"")</f>
        <v>2.741780768159497E-3</v>
      </c>
      <c r="P26" s="30">
        <f>IF(ISNUMBER(N26),P25+N26,"")</f>
        <v>392608057.57100004</v>
      </c>
      <c r="Q26" s="11">
        <f>IF(ISNUMBER(N26),(P26-P13)/P13,"")</f>
        <v>-6.5349650390616101E-3</v>
      </c>
      <c r="R26" s="30">
        <f>IF(ISNUMBER(N26),N26+N25+N24+N23+N22+N21+N20+N19+N17+N16+N15+N14,"")</f>
        <v>591439418.36000001</v>
      </c>
      <c r="S26" s="30"/>
      <c r="T26" s="27">
        <v>634428.5070000001</v>
      </c>
      <c r="U26" s="32">
        <f>IF(ISNUMBER(T26),T26/$U$4,"")</f>
        <v>1170532.3007380075</v>
      </c>
      <c r="V26" s="13">
        <f>IF(ISNUMBER(U26),(U26-U13)/U13,"")</f>
        <v>6.1347649529243153E-2</v>
      </c>
      <c r="W26" s="30">
        <f>IF(ISNUMBER(U26),W25+U26,"")</f>
        <v>8523162.0983948335</v>
      </c>
      <c r="X26" s="11">
        <f>IF(ISNUMBER(U26),(W26-W13)/W13,"")</f>
        <v>0.13841923782371382</v>
      </c>
      <c r="Y26" s="30">
        <f>IF(ISNUMBER(U26),U26+U25+U24+U23+U22+U21+U20+U19+U17+U16+U15+U14,"")</f>
        <v>12302677.591346864</v>
      </c>
      <c r="Z26" s="30"/>
      <c r="AA26" s="28">
        <f t="shared" si="1"/>
        <v>85492887.970738009</v>
      </c>
      <c r="AB26" s="13">
        <f>IF(ISNUMBER(AA26),(AA26-AA13)/AA13,"")</f>
        <v>4.1440978158672798E-4</v>
      </c>
      <c r="AC26" s="30">
        <f t="shared" si="20"/>
        <v>614843856.84039474</v>
      </c>
      <c r="AD26" s="11">
        <f>IF(ISNUMBER(AA26),(AC26-AC13)/AC13,"")</f>
        <v>-9.1923749047431065E-3</v>
      </c>
      <c r="AE26" s="30">
        <f>IF(ISNUMBER(AA26),AA26+AA25+AA24+AA23+AA22+AA21+AA20+AA19+AA17+AA16+AA15+AA14,"")</f>
        <v>920954182.35234666</v>
      </c>
      <c r="AF26" s="11"/>
      <c r="AH26" s="37"/>
    </row>
    <row r="27" spans="2:36" ht="14.5" hidden="1" x14ac:dyDescent="0.35">
      <c r="B27" s="14">
        <v>2017</v>
      </c>
      <c r="C27" s="14" t="s">
        <v>29</v>
      </c>
      <c r="D27" s="27">
        <v>24417682.540000003</v>
      </c>
      <c r="E27" s="27">
        <v>2441342.5299999998</v>
      </c>
      <c r="F27" s="28">
        <f t="shared" si="2"/>
        <v>26859025.070000004</v>
      </c>
      <c r="G27" s="13">
        <f>IF(ISNUMBER(F27),(F27-F14)/F14,"")</f>
        <v>-4.7459709485987031E-2</v>
      </c>
      <c r="H27" s="30">
        <f>IF(ISNUMBER(F27),F27+H26,"")</f>
        <v>240571662.241</v>
      </c>
      <c r="I27" s="11">
        <f>IF(ISNUMBER(H27),(H27-H14)/H14,"")</f>
        <v>-2.2336555282574524E-2</v>
      </c>
      <c r="J27" s="30">
        <f>IF(ISNUMBER(F27),F27+F26+F25+F24+F23+F22+F21+F20+F19+F17+F16+F15,"")</f>
        <v>315873852.69099993</v>
      </c>
      <c r="K27" s="11"/>
      <c r="L27" s="27">
        <v>48688798.460000001</v>
      </c>
      <c r="M27" s="27">
        <v>2260055.65</v>
      </c>
      <c r="N27" s="28">
        <f>IF((L27+M27)&gt;0,L27+M27,"")</f>
        <v>50948854.109999999</v>
      </c>
      <c r="O27" s="13">
        <f>IF(ISNUMBER(N27),(N27-N14)/N14,"")</f>
        <v>-3.8111218043852833E-2</v>
      </c>
      <c r="P27" s="30">
        <f>IF(ISNUMBER(N27),P26+N27,"")</f>
        <v>443556911.68100005</v>
      </c>
      <c r="Q27" s="11">
        <f>IF(ISNUMBER(N27),(P27-P14)/P14,"")</f>
        <v>-1.0266941362124481E-2</v>
      </c>
      <c r="R27" s="30">
        <f>IF(ISNUMBER(N27),N27+N26+N25+N24+N23+N22+N21+N20+N19+N17+N16+N15,"")</f>
        <v>589420762.01999998</v>
      </c>
      <c r="S27" s="30"/>
      <c r="T27" s="27">
        <v>554772.16047</v>
      </c>
      <c r="U27" s="32">
        <f>IF(ISNUMBER(T27),T27/$U$4,"")</f>
        <v>1023564.8717158671</v>
      </c>
      <c r="V27" s="13">
        <f>IF(ISNUMBER(U27),(U27-U14)/U14,"")</f>
        <v>3.0425279729089406E-2</v>
      </c>
      <c r="W27" s="30">
        <f>IF(ISNUMBER(U27),W26+U27,"")</f>
        <v>9546726.9701107014</v>
      </c>
      <c r="X27" s="11">
        <f>IF(ISNUMBER(U27),(W27-W14)/W14,"")</f>
        <v>0.12576916073986247</v>
      </c>
      <c r="Y27" s="30">
        <f>IF(ISNUMBER(U27),U27+U26+U25+U24+U23+U22+U21+U20+U19+U17+U16+U15,"")</f>
        <v>12332900.304391144</v>
      </c>
      <c r="Z27" s="30"/>
      <c r="AA27" s="28">
        <f t="shared" si="1"/>
        <v>78831444.051715881</v>
      </c>
      <c r="AB27" s="13">
        <f>IF(ISNUMBER(AA27),(AA27-AA14)/AA14,"")</f>
        <v>-4.0491039542255233E-2</v>
      </c>
      <c r="AC27" s="30">
        <f t="shared" si="20"/>
        <v>693675300.89211059</v>
      </c>
      <c r="AD27" s="11">
        <f>IF(ISNUMBER(AA27),(AC27-AC14)/AC14,"")</f>
        <v>-1.2851712027687145E-2</v>
      </c>
      <c r="AE27" s="30">
        <f>IF(ISNUMBER(AA27),AA27+AA26+AA25+AA24+AA23+AA22+AA21+AA20+AA19+AA17+AA16+AA15,"")</f>
        <v>917627515.01539087</v>
      </c>
      <c r="AF27" s="11"/>
    </row>
    <row r="28" spans="2:36" ht="14.5" hidden="1" x14ac:dyDescent="0.35">
      <c r="B28" s="14">
        <v>2017</v>
      </c>
      <c r="C28" s="14" t="s">
        <v>30</v>
      </c>
      <c r="D28" s="33">
        <v>23549534</v>
      </c>
      <c r="E28" s="33">
        <v>2312181</v>
      </c>
      <c r="F28" s="28">
        <f t="shared" si="2"/>
        <v>25861715</v>
      </c>
      <c r="G28" s="13">
        <f>IF(ISNUMBER(F28),(F28-F15)/F15,"")</f>
        <v>-1.9485588786740903E-2</v>
      </c>
      <c r="H28" s="30">
        <f>IF(ISNUMBER(F28),F28+H27,"")</f>
        <v>266433377.241</v>
      </c>
      <c r="I28" s="11">
        <f>IF(ISNUMBER(H28),(H28-H15)/H15,"")</f>
        <v>-2.2060549112792056E-2</v>
      </c>
      <c r="J28" s="30">
        <f>IF(ISNUMBER(F28),F28+F27+F26+F25+F24+F23+F22+F21+F20+F19+F17+F16,"")</f>
        <v>315359907.42099994</v>
      </c>
      <c r="K28" s="11"/>
      <c r="L28" s="33">
        <v>48789311</v>
      </c>
      <c r="M28" s="33">
        <v>1724078</v>
      </c>
      <c r="N28" s="28">
        <f>IF((L28+M28)&gt;0,L28+M28,"")</f>
        <v>50513389</v>
      </c>
      <c r="O28" s="13">
        <f>IF(ISNUMBER(N28),(N28-N15)/N15,"")</f>
        <v>-1.7991611120349131E-2</v>
      </c>
      <c r="P28" s="30">
        <f>IF(ISNUMBER(N28),P27+N28,"")</f>
        <v>494070300.68100005</v>
      </c>
      <c r="Q28" s="11">
        <f>IF(ISNUMBER(N28),(P28-P15)/P15,"")</f>
        <v>-1.1062278797820436E-2</v>
      </c>
      <c r="R28" s="30">
        <f>IF(ISNUMBER(N28),N28+N27+N26+N25+N24+N23+N22+N21+N20+N19+N17+N16,"")</f>
        <v>588495294.11000001</v>
      </c>
      <c r="S28" s="30"/>
      <c r="T28" s="25">
        <v>542959</v>
      </c>
      <c r="U28" s="32">
        <f>IF(ISNUMBER(T28),T28/$U$4,"")</f>
        <v>1001769.3726937269</v>
      </c>
      <c r="V28" s="13">
        <f>IF(ISNUMBER(U28),(U28-U15)/U15,"")</f>
        <v>-8.122320238582141E-4</v>
      </c>
      <c r="W28" s="30">
        <f>IF(ISNUMBER(U28),W27+U28,"")</f>
        <v>10548496.342804428</v>
      </c>
      <c r="X28" s="11">
        <f>IF(ISNUMBER(U28),(W28-W15)/W15,"")</f>
        <v>0.11238609821515927</v>
      </c>
      <c r="Y28" s="30">
        <f>IF(ISNUMBER(U28),U28+U27+U26+U25+U24+U23+U22+U21+U20+U19+U17+U16,"")</f>
        <v>12332085.973800739</v>
      </c>
      <c r="Z28" s="30"/>
      <c r="AA28" s="28">
        <f t="shared" si="1"/>
        <v>77376873.372693732</v>
      </c>
      <c r="AB28" s="13">
        <f>IF(ISNUMBER(AA28),(AA28-AA15)/AA15,"")</f>
        <v>-1.8273033319547709E-2</v>
      </c>
      <c r="AC28" s="30">
        <f t="shared" si="20"/>
        <v>771052174.26480436</v>
      </c>
      <c r="AD28" s="11">
        <f>IF(ISNUMBER(AA28),(AC28-AC15)/AC15,"")</f>
        <v>-1.3398455526130067E-2</v>
      </c>
      <c r="AE28" s="30">
        <f>IF(ISNUMBER(AA28),AA28+AA27+AA26+AA25+AA24+AA23+AA22+AA21+AA20+AA19+AA17+AA16,"")</f>
        <v>916187287.50480056</v>
      </c>
      <c r="AF28" s="11"/>
    </row>
    <row r="29" spans="2:36" ht="14.5" hidden="1" x14ac:dyDescent="0.35">
      <c r="B29" s="14">
        <v>2017</v>
      </c>
      <c r="C29" s="14" t="s">
        <v>31</v>
      </c>
      <c r="D29" s="33">
        <v>21575795</v>
      </c>
      <c r="E29" s="33">
        <v>2024800</v>
      </c>
      <c r="F29" s="28">
        <f t="shared" si="2"/>
        <v>23600595</v>
      </c>
      <c r="G29" s="13">
        <f>IF(ISNUMBER(F29),(F29-F16)/F16,"")</f>
        <v>-1.8480268001498081E-2</v>
      </c>
      <c r="H29" s="30">
        <f>IF(ISNUMBER(F29),F29+H28,"")</f>
        <v>290033972.241</v>
      </c>
      <c r="I29" s="11">
        <f>IF(ISNUMBER(H29),(H29-H16)/H16,"")</f>
        <v>-2.1770191600785478E-2</v>
      </c>
      <c r="J29" s="30">
        <f>IF(ISNUMBER(F29),F29+F28+F27+F26+F25+F24+F23+F22+F21+F20+F19+F17,"")</f>
        <v>314915550.26099992</v>
      </c>
      <c r="K29" s="11"/>
      <c r="L29" s="33">
        <v>45816394</v>
      </c>
      <c r="M29" s="33">
        <v>1445878</v>
      </c>
      <c r="N29" s="28">
        <f>IF((L29+M29)&gt;0,L29+M29,"")</f>
        <v>47262272</v>
      </c>
      <c r="O29" s="13">
        <f>IF(ISNUMBER(N29),(N29-N16)/N16,"")</f>
        <v>-4.1258158563562651E-2</v>
      </c>
      <c r="P29" s="30">
        <f>IF(ISNUMBER(N29),P28+N29,"")</f>
        <v>541332572.68099999</v>
      </c>
      <c r="Q29" s="11">
        <f>IF(ISNUMBER(N29),(P29-P16)/P16,"")</f>
        <v>-1.3774173438440618E-2</v>
      </c>
      <c r="R29" s="30">
        <f>IF(ISNUMBER(N29),N29+N28+N27+N26+N25+N24+N23+N22+N21+N20+N19+N17,"")</f>
        <v>586461426.15100014</v>
      </c>
      <c r="S29" s="30"/>
      <c r="T29" s="33">
        <v>518948</v>
      </c>
      <c r="U29" s="32">
        <f>IF(ISNUMBER(T29),T29/$U$4,"")</f>
        <v>957468.63468634675</v>
      </c>
      <c r="V29" s="13">
        <f>IF(ISNUMBER(U29),(U29-U16)/U16,"")</f>
        <v>7.6639682134824486E-2</v>
      </c>
      <c r="W29" s="30">
        <f>IF(ISNUMBER(U29),W28+U29,"")</f>
        <v>11505964.977490775</v>
      </c>
      <c r="X29" s="11">
        <f>IF(ISNUMBER(U29),(W29-W16)/W16,"")</f>
        <v>0.10932116559793989</v>
      </c>
      <c r="Y29" s="30">
        <f>IF(ISNUMBER(U29),U29+U28+U27+U26+U25+U24+U23+U22+U21+U20+U19+U17,"")</f>
        <v>12400242.566051662</v>
      </c>
      <c r="Z29" s="30"/>
      <c r="AA29" s="28">
        <f>F29+N29+U29</f>
        <v>71820335.634686351</v>
      </c>
      <c r="AB29" s="13">
        <f>IF(ISNUMBER(AA29),(AA29-AA16)/AA16,"")</f>
        <v>-3.2467404077548674E-2</v>
      </c>
      <c r="AC29" s="30">
        <f t="shared" si="20"/>
        <v>842872509.89949071</v>
      </c>
      <c r="AD29" s="11">
        <f>IF(ISNUMBER(AA29),(AC29-AC16)/AC16,"")</f>
        <v>-1.5052547840112857E-2</v>
      </c>
      <c r="AE29" s="30">
        <f>IF(ISNUMBER(AA29),AA29+AA28+AA27+AA26+AA25+AA24+AA23+AA22+AA21+AA20+AA19+AA17,"")</f>
        <v>913777218.97805142</v>
      </c>
      <c r="AF29" s="11"/>
    </row>
    <row r="30" spans="2:36" ht="14.5" hidden="1" x14ac:dyDescent="0.35">
      <c r="B30" s="14">
        <v>2017</v>
      </c>
      <c r="C30" s="14" t="s">
        <v>32</v>
      </c>
      <c r="D30" s="33">
        <v>23459387</v>
      </c>
      <c r="E30" s="33">
        <v>2224260</v>
      </c>
      <c r="F30" s="28">
        <f t="shared" si="2"/>
        <v>25683647</v>
      </c>
      <c r="G30" s="13">
        <f>IF(ISNUMBER(F30),(F30-F17)/F17,"")</f>
        <v>3.2235454654656201E-2</v>
      </c>
      <c r="H30" s="30">
        <f>IF(ISNUMBER(F30),F30+H29,"")</f>
        <v>315717619.241</v>
      </c>
      <c r="I30" s="11">
        <f>IF(ISNUMBER(H30),(H30-H17)/H17,"")</f>
        <v>-1.7588889622179325E-2</v>
      </c>
      <c r="J30" s="30">
        <f>IF(ISNUMBER(F30),F30+F29+F28+F27+F26+F25+F24+F23+F22+F21+F20+F19,"")</f>
        <v>315717619.24099994</v>
      </c>
      <c r="K30" s="11">
        <f>IF(ISNUMBER(J30),(J30-J17)/J17,"")</f>
        <v>-1.7588889622179513E-2</v>
      </c>
      <c r="L30" s="33">
        <v>43878060</v>
      </c>
      <c r="M30" s="33">
        <v>1439231</v>
      </c>
      <c r="N30" s="28">
        <f>IF((L30+M30)&gt;0,L30+M30,"")</f>
        <v>45317291</v>
      </c>
      <c r="O30" s="13">
        <f>IF(ISNUMBER(N30),(N30-N17)/N17,"")</f>
        <v>4.1755443693082088E-3</v>
      </c>
      <c r="P30" s="30">
        <f>IF(ISNUMBER(N30),P29+N30,"")</f>
        <v>586649863.68099999</v>
      </c>
      <c r="Q30" s="11">
        <f>IF(ISNUMBER(N30),(P30-P17)/P17,"")</f>
        <v>-1.2410503038050604E-2</v>
      </c>
      <c r="R30" s="30">
        <f>IF(ISNUMBER(N30),N30+N29+N28+N27+N26+N25+N24+N23+N22+N21+N20+N19,"")</f>
        <v>586649863.68100011</v>
      </c>
      <c r="S30" s="41">
        <f>IF(ISNUMBER(R30),(R30-R17)/R17,"")</f>
        <v>-1.2410503038050205E-2</v>
      </c>
      <c r="T30" s="25">
        <v>545213</v>
      </c>
      <c r="U30" s="32">
        <f>IF(ISNUMBER(T30),T30/$U$4,"")</f>
        <v>1005928.0442804428</v>
      </c>
      <c r="V30" s="13">
        <f>IF(ISNUMBER(U30),(U30-U17)/U17,"")</f>
        <v>0.12484988682231266</v>
      </c>
      <c r="W30" s="30">
        <f>IF(ISNUMBER(U30),W29+U30,"")</f>
        <v>12511893.021771219</v>
      </c>
      <c r="X30" s="11">
        <f>IF(ISNUMBER(U30),(W30-W17)/W17,"")</f>
        <v>0.11055377254127895</v>
      </c>
      <c r="Y30" s="30">
        <f>IF(ISNUMBER(U30),U30+U29+U28+U27+U26+U25+U24+U23+U21+U20+U19+U19,"")</f>
        <v>12391058.36863469</v>
      </c>
      <c r="Z30" s="40">
        <f>IF(ISNUMBER(Y30),(Y30-Y17)/Y17,"")</f>
        <v>9.9828506615412302E-2</v>
      </c>
      <c r="AA30" s="28">
        <f>F30+N30+U30</f>
        <v>72006866.04428044</v>
      </c>
      <c r="AB30" s="13">
        <f>IF(ISNUMBER(AA30),(AA30-AA17)/AA17,"")</f>
        <v>1.5544199814689103E-2</v>
      </c>
      <c r="AC30" s="30">
        <f t="shared" si="20"/>
        <v>914879375.94377112</v>
      </c>
      <c r="AD30" s="11">
        <f>IF(ISNUMBER(AA30),(AC30-AC17)/AC17,"")</f>
        <v>-1.2711390330825918E-2</v>
      </c>
      <c r="AE30" s="30">
        <f>IF(ISNUMBER(AA30),AA30+AA29+AA28+AA27+AA26+AA25+AA24+AA23+AA22+AA21+AA20+AA19,"")</f>
        <v>914879375.94377112</v>
      </c>
      <c r="AF30" s="11">
        <f>IF(ISNUMBER(AE30),(AE30-AE17)/AE17,"")</f>
        <v>-1.2711390330825918E-2</v>
      </c>
    </row>
    <row r="31" spans="2:36" hidden="1" x14ac:dyDescent="0.3">
      <c r="B31" s="15">
        <v>2017</v>
      </c>
      <c r="C31" s="15" t="s">
        <v>33</v>
      </c>
      <c r="D31" s="34">
        <f>SUM(D19:D30)</f>
        <v>286957408.20099998</v>
      </c>
      <c r="E31" s="34">
        <f>SUM(E19:E30)</f>
        <v>28760211.039999999</v>
      </c>
      <c r="F31" s="34">
        <f>SUM(F19:F30)</f>
        <v>315717619.241</v>
      </c>
      <c r="G31" s="35"/>
      <c r="H31" s="35"/>
      <c r="I31" s="35"/>
      <c r="J31" s="35"/>
      <c r="K31" s="35"/>
      <c r="L31" s="34">
        <f>SUM(L19:L30)</f>
        <v>565288059.00099993</v>
      </c>
      <c r="M31" s="34">
        <f>SUM(M19:M30)</f>
        <v>21361804.68</v>
      </c>
      <c r="N31" s="34">
        <f>SUM(N19:N30)</f>
        <v>586649863.68099999</v>
      </c>
      <c r="O31" s="35"/>
      <c r="P31" s="35"/>
      <c r="Q31" s="35"/>
      <c r="R31" s="35"/>
      <c r="S31" s="35"/>
      <c r="T31" s="34">
        <f>SUM(T19:T30)</f>
        <v>6781446.0177999996</v>
      </c>
      <c r="U31" s="34">
        <f>SUM(U19:U30)</f>
        <v>12511893.021771219</v>
      </c>
      <c r="V31" s="35"/>
      <c r="W31" s="35"/>
      <c r="X31" s="35"/>
      <c r="Y31" s="35"/>
      <c r="Z31" s="35"/>
      <c r="AA31" s="34">
        <f>F31+N31+U31</f>
        <v>914879375.94377112</v>
      </c>
      <c r="AB31" s="35"/>
      <c r="AC31" s="35"/>
      <c r="AD31" s="35"/>
      <c r="AE31" s="35"/>
      <c r="AF31" s="35"/>
    </row>
    <row r="32" spans="2:36" ht="14.5" hidden="1" x14ac:dyDescent="0.35">
      <c r="B32" s="14">
        <v>2018</v>
      </c>
      <c r="C32" s="14" t="s">
        <v>20</v>
      </c>
      <c r="D32" s="27">
        <v>20010790</v>
      </c>
      <c r="E32" s="27">
        <v>1834406</v>
      </c>
      <c r="F32" s="28">
        <f t="shared" ref="F32:F36" si="21">IF((D32+E32)&gt;0,D32+E32,"")</f>
        <v>21845196</v>
      </c>
      <c r="G32" s="13">
        <f>IF(ISNUMBER(F32),(F32-F19)/F19,"")</f>
        <v>-7.4177190359929965E-2</v>
      </c>
      <c r="H32" s="30">
        <f>IF(F32&gt;0,F32,"")</f>
        <v>21845196</v>
      </c>
      <c r="I32" s="11">
        <f t="shared" ref="I32:I38" si="22">IF(ISNUMBER(H32),(H32-H19)/H19,"")</f>
        <v>-7.4177190359929965E-2</v>
      </c>
      <c r="J32" s="30">
        <f>IF(ISNUMBER(F32),F32+F30+F29+F28+F27+F26+F25+F24+F23+F22+F21+F20,"")</f>
        <v>313967375.84099996</v>
      </c>
      <c r="K32" s="11">
        <f>IF(ISNUMBER(J32),(J32-J19)/J19,"")</f>
        <v>-1.5230534139187468E-2</v>
      </c>
      <c r="L32" s="27">
        <v>43988829</v>
      </c>
      <c r="M32" s="27">
        <v>1346888</v>
      </c>
      <c r="N32" s="28">
        <f>IF((L32+M32)&gt;0,L32+M32,"")</f>
        <v>45335717</v>
      </c>
      <c r="O32" s="13">
        <f t="shared" ref="O32:O38" si="23">IF(ISNUMBER(N32),(N32-N19)/N19,"")</f>
        <v>-2.4103298000226901E-2</v>
      </c>
      <c r="P32" s="30">
        <f>N32</f>
        <v>45335717</v>
      </c>
      <c r="Q32" s="11">
        <f t="shared" ref="Q32:Q38" si="24">IF(ISNUMBER(N32),(P32-P19)/P19,"")</f>
        <v>-2.4103298000226901E-2</v>
      </c>
      <c r="R32" s="30">
        <f>IF(ISNUMBER(N32),N32+N30+N29+N28+N27+N26+N25+N24+N23+N22+N21+N20,"")</f>
        <v>585530134.21100008</v>
      </c>
      <c r="S32" s="41">
        <f>IF(ISNUMBER(R32),(R32-R19)/R19,"")</f>
        <v>-2.2178425833039609E-3</v>
      </c>
      <c r="T32" s="27">
        <v>553866</v>
      </c>
      <c r="U32" s="32">
        <f t="shared" ref="U32:U38" si="25">IF(ISNUMBER(T32),T32/$U$4,"")</f>
        <v>1021892.9889298893</v>
      </c>
      <c r="V32" s="13">
        <f t="shared" ref="V32:V38" si="26">IF(ISNUMBER(U32),(U32-U19)/U19,"")</f>
        <v>0.18634105072676915</v>
      </c>
      <c r="W32" s="30">
        <f t="shared" ref="W32:W38" si="27">IF(ISNUMBER(U32),W31+U32,"")</f>
        <v>1021892.9889298893</v>
      </c>
      <c r="X32" s="11">
        <f t="shared" ref="X32:X38" si="28">IF(ISNUMBER(U32),(W32-W19)/W19,"")</f>
        <v>0.18634105072676915</v>
      </c>
      <c r="Y32" s="30">
        <f>IF(ISNUMBER(U32),U32+U30+U29+U28+U27+U26+U25+U24+U23+U22+U21+U20,"")</f>
        <v>12672403.874169741</v>
      </c>
      <c r="Z32" s="41">
        <f>IF(ISNUMBER(Y32),(Y32-Y19)/Y19,"")</f>
        <v>0.1218520510494646</v>
      </c>
      <c r="AA32" s="28">
        <f>F32+N32+U32</f>
        <v>68202805.988929883</v>
      </c>
      <c r="AB32" s="13">
        <f>IF(ISNUMBER(AA32),(AA32-AA19)/AA19,"")</f>
        <v>-3.8208649839713497E-2</v>
      </c>
      <c r="AC32" s="30">
        <f>IF(ISNUMBER(AA32),AA32,"")</f>
        <v>68202805.988929883</v>
      </c>
      <c r="AD32" s="11">
        <f t="shared" ref="AD32:AD38" si="29">IF(ISNUMBER(AA32),(AC32-AC19)/AC19,"")</f>
        <v>-3.8208649839713497E-2</v>
      </c>
      <c r="AE32" s="30">
        <f>IF(ISNUMBER(AA32),AA32+AA30+AA29+AA28+AA27+AA26+AA25+AA24+AA23+AA22+AA21+AA20,"")</f>
        <v>912169913.92616963</v>
      </c>
      <c r="AF32" s="41">
        <f>IF(ISNUMBER(AE32),(AE32-AE19)/AE19,"")</f>
        <v>-5.213923461920407E-3</v>
      </c>
      <c r="AH32" s="37"/>
    </row>
    <row r="33" spans="2:41" ht="14.5" hidden="1" x14ac:dyDescent="0.35">
      <c r="B33" s="14">
        <v>2018</v>
      </c>
      <c r="C33" s="14" t="s">
        <v>22</v>
      </c>
      <c r="D33" s="27">
        <v>19973599</v>
      </c>
      <c r="E33" s="27">
        <v>1864296</v>
      </c>
      <c r="F33" s="28">
        <f t="shared" si="21"/>
        <v>21837895</v>
      </c>
      <c r="G33" s="13">
        <f t="shared" ref="G33:G38" si="30">IF(ISNUMBER(F33),(F33-F20)/F20,"")</f>
        <v>2.6922025033195175E-2</v>
      </c>
      <c r="H33" s="30">
        <f>IF(ISNUMBER(F33),F33+H32,"")</f>
        <v>43683091</v>
      </c>
      <c r="I33" s="11">
        <f t="shared" si="22"/>
        <v>-2.6253107134531502E-2</v>
      </c>
      <c r="J33" s="30">
        <f>IF(ISNUMBER(F33),F33+F32+F30+F29+F28+F27+F26+F25+F24+F23+F22+F21,"")</f>
        <v>314539883.14099997</v>
      </c>
      <c r="K33" s="11">
        <f t="shared" ref="K33:K43" si="31">IF(ISNUMBER(J33),(J33-J20)/J20,"")</f>
        <v>-1.6118875384673468E-2</v>
      </c>
      <c r="L33" s="27">
        <v>42836574</v>
      </c>
      <c r="M33" s="27">
        <v>1435411</v>
      </c>
      <c r="N33" s="28">
        <f t="shared" ref="N33:N38" si="32">IF((L33+M33)&gt;0,L33+M33,"")</f>
        <v>44271985</v>
      </c>
      <c r="O33" s="13">
        <f t="shared" si="23"/>
        <v>3.7942311979509119E-2</v>
      </c>
      <c r="P33" s="30">
        <f t="shared" ref="P33:P38" si="33">IF(ISNUMBER(N33),P32+N33,"")</f>
        <v>89607702</v>
      </c>
      <c r="Q33" s="11">
        <f t="shared" si="24"/>
        <v>5.5959189588509605E-3</v>
      </c>
      <c r="R33" s="30">
        <f>IF(ISNUMBER(N33),N33+N32+N30+N29+N28+N27+N26+N25+N24+N23+N22+N21,"")</f>
        <v>587148510.73100007</v>
      </c>
      <c r="S33" s="41">
        <f t="shared" ref="S33:S43" si="34">IF(ISNUMBER(R33),(R33-R20)/R20,"")</f>
        <v>4.1770020849179251E-3</v>
      </c>
      <c r="T33" s="27">
        <v>513474</v>
      </c>
      <c r="U33" s="32">
        <f t="shared" si="25"/>
        <v>947369.00369003683</v>
      </c>
      <c r="V33" s="13">
        <f t="shared" si="26"/>
        <v>0.16347726596116111</v>
      </c>
      <c r="W33" s="30">
        <f t="shared" si="27"/>
        <v>1969261.9926199261</v>
      </c>
      <c r="X33" s="11">
        <f t="shared" si="28"/>
        <v>0.17523066825241659</v>
      </c>
      <c r="Y33" s="30">
        <f>IF(ISNUMBER(U33),U33+U32+U30+U29+U28+U27+U26+U25+U24+U23+U22+U21,"")</f>
        <v>12805516.311439116</v>
      </c>
      <c r="Z33" s="41">
        <f t="shared" ref="Z33" si="35">IF(ISNUMBER(Y33),(Y33-Y20)/Y20,"")</f>
        <v>0.12804184253180256</v>
      </c>
      <c r="AA33" s="28">
        <f t="shared" ref="AA33:AA39" si="36">F33+N33+U33</f>
        <v>67057249.003690034</v>
      </c>
      <c r="AB33" s="13">
        <f t="shared" ref="AB33:AB38" si="37">IF(ISNUMBER(AA33),(AA33-AA20)/AA20,"")</f>
        <v>3.5901119728575077E-2</v>
      </c>
      <c r="AC33" s="30">
        <f t="shared" ref="AC33:AC43" si="38">IF(ISNUMBER(AA33),AC32+AA33,"")</f>
        <v>135260054.99261993</v>
      </c>
      <c r="AD33" s="11">
        <f t="shared" si="29"/>
        <v>-2.8417138892049901E-3</v>
      </c>
      <c r="AE33" s="30">
        <f>IF(ISNUMBER(AA33),AA33+AA32+AA30+AA29+AA28+AA27+AA26+AA25+AA24+AA23+AA22+AA21,"")</f>
        <v>914493910.18343914</v>
      </c>
      <c r="AF33" s="41">
        <f t="shared" ref="AF33:AF43" si="39">IF(ISNUMBER(AE33),(AE33-AE20)/AE20,"")</f>
        <v>-1.3729088947414729E-3</v>
      </c>
      <c r="AH33" s="37"/>
    </row>
    <row r="34" spans="2:41" ht="14.5" hidden="1" x14ac:dyDescent="0.35">
      <c r="B34" s="14">
        <v>2018</v>
      </c>
      <c r="C34" s="14" t="s">
        <v>23</v>
      </c>
      <c r="D34" s="27">
        <v>21752473</v>
      </c>
      <c r="E34" s="27">
        <v>2015880</v>
      </c>
      <c r="F34" s="28">
        <f t="shared" si="21"/>
        <v>23768353</v>
      </c>
      <c r="G34" s="13">
        <f t="shared" si="30"/>
        <v>-1.503837814590122E-2</v>
      </c>
      <c r="H34" s="30">
        <f t="shared" ref="H34:H38" si="40">IF(ISNUMBER(F34),F34+H33,"")</f>
        <v>67451444</v>
      </c>
      <c r="I34" s="11">
        <f t="shared" si="22"/>
        <v>-2.2330549292264811E-2</v>
      </c>
      <c r="J34" s="30">
        <f>IF(ISNUMBER(F34),F34+F33+F32+F30+F29+F28+F27+F26+F25+F24+F23+F22,"")</f>
        <v>314176988.31099999</v>
      </c>
      <c r="K34" s="11">
        <f t="shared" si="31"/>
        <v>-1.6642352324929575E-2</v>
      </c>
      <c r="L34" s="27">
        <v>46031366</v>
      </c>
      <c r="M34" s="27">
        <v>1471193</v>
      </c>
      <c r="N34" s="28">
        <f t="shared" si="32"/>
        <v>47502559</v>
      </c>
      <c r="O34" s="13">
        <f t="shared" si="23"/>
        <v>-3.2960114332141459E-2</v>
      </c>
      <c r="P34" s="30">
        <f t="shared" si="33"/>
        <v>137110261</v>
      </c>
      <c r="Q34" s="11">
        <f t="shared" si="24"/>
        <v>-8.1053426622186408E-3</v>
      </c>
      <c r="R34" s="30">
        <f>IF(ISNUMBER(N34),N34+N33+N32+N30+N29+N28+N27+N26+N25+N24+N23+N22,"")</f>
        <v>585529456.75099993</v>
      </c>
      <c r="S34" s="41">
        <f t="shared" si="34"/>
        <v>-3.7072048926850034E-4</v>
      </c>
      <c r="T34" s="27">
        <v>582860</v>
      </c>
      <c r="U34" s="32">
        <f t="shared" si="25"/>
        <v>1075387.4538745387</v>
      </c>
      <c r="V34" s="13">
        <f t="shared" si="26"/>
        <v>8.1689896105342732E-2</v>
      </c>
      <c r="W34" s="30">
        <f t="shared" si="27"/>
        <v>3044649.4464944648</v>
      </c>
      <c r="X34" s="11">
        <f t="shared" si="28"/>
        <v>0.14039834632537201</v>
      </c>
      <c r="Y34" s="30">
        <f>IF(ISNUMBER(U34),U34+U33+U32+U30+U29+U28+U27+U26+U25+U24+U23+U22,"")</f>
        <v>12886730.243173432</v>
      </c>
      <c r="Z34" s="41">
        <f>IF(ISNUMBER(Y34),(Y34-Y21)/Y21,"")</f>
        <v>0.12080135320876294</v>
      </c>
      <c r="AA34" s="28">
        <f t="shared" si="36"/>
        <v>72346299.453874543</v>
      </c>
      <c r="AB34" s="13">
        <f t="shared" si="37"/>
        <v>-2.5600145451774421E-2</v>
      </c>
      <c r="AC34" s="30">
        <f t="shared" si="38"/>
        <v>207606354.44649446</v>
      </c>
      <c r="AD34" s="11">
        <f t="shared" si="29"/>
        <v>-1.0892242641340666E-2</v>
      </c>
      <c r="AE34" s="30">
        <f>IF(ISNUMBER(AA34),AA34+AA33+AA32+AA30+AA29+AA28+AA27+AA26+AA25+AA24+AA23+AA22,"")</f>
        <v>912593175.3051734</v>
      </c>
      <c r="AF34" s="41">
        <f t="shared" si="39"/>
        <v>-4.5218285021165544E-3</v>
      </c>
      <c r="AH34" s="37"/>
    </row>
    <row r="35" spans="2:41" ht="14.5" hidden="1" x14ac:dyDescent="0.35">
      <c r="B35" s="14">
        <v>2018</v>
      </c>
      <c r="C35" s="14" t="s">
        <v>24</v>
      </c>
      <c r="D35" s="27">
        <v>22050831</v>
      </c>
      <c r="E35" s="27">
        <v>2040480</v>
      </c>
      <c r="F35" s="28">
        <f t="shared" si="21"/>
        <v>24091311</v>
      </c>
      <c r="G35" s="13">
        <f t="shared" si="30"/>
        <v>-3.9700519004775323E-2</v>
      </c>
      <c r="H35" s="30">
        <f t="shared" si="40"/>
        <v>91542755</v>
      </c>
      <c r="I35" s="11">
        <f t="shared" si="22"/>
        <v>-2.6962441315321533E-2</v>
      </c>
      <c r="J35" s="30">
        <f>IF(ISNUMBER(F35),F35+F34+F33+F32+F30+F29+F28+F27+F26+F25+F24+F23,"")</f>
        <v>313181009.90100002</v>
      </c>
      <c r="K35" s="11">
        <f t="shared" si="31"/>
        <v>-1.8752420111807864E-2</v>
      </c>
      <c r="L35" s="27">
        <v>44693712</v>
      </c>
      <c r="M35" s="27">
        <v>1379542</v>
      </c>
      <c r="N35" s="28">
        <f t="shared" si="32"/>
        <v>46073254</v>
      </c>
      <c r="O35" s="13">
        <f t="shared" si="23"/>
        <v>-2.5238838371699067E-2</v>
      </c>
      <c r="P35" s="30">
        <f t="shared" si="33"/>
        <v>183183515</v>
      </c>
      <c r="Q35" s="11">
        <f t="shared" si="24"/>
        <v>-1.2471104831204904E-2</v>
      </c>
      <c r="R35" s="30">
        <f>IF(ISNUMBER(N35),N35+N34+N33+N32+N30+N29+N28+N27+N26+N25+N24+N23,"")</f>
        <v>584336512.82099998</v>
      </c>
      <c r="S35" s="41">
        <f t="shared" si="34"/>
        <v>-3.5742448970112087E-3</v>
      </c>
      <c r="T35" s="27">
        <v>571282</v>
      </c>
      <c r="U35" s="32">
        <f t="shared" si="25"/>
        <v>1054025.8302583026</v>
      </c>
      <c r="V35" s="13">
        <f t="shared" si="26"/>
        <v>7.3109156090363558E-2</v>
      </c>
      <c r="W35" s="30">
        <f t="shared" si="27"/>
        <v>4098675.2767527672</v>
      </c>
      <c r="X35" s="11">
        <f t="shared" si="28"/>
        <v>0.1223008525363411</v>
      </c>
      <c r="Y35" s="30">
        <f>IF(ISNUMBER(U35),U35+U34+U33+U32+U30+U29+U28+U27+U26+U25+U24+U23,"")</f>
        <v>12958539.283763837</v>
      </c>
      <c r="Z35" s="41">
        <f t="shared" ref="Z35:Z43" si="41">IF(ISNUMBER(Y35),(Y35-Y22)/Y22,"")</f>
        <v>0.11761989663246558</v>
      </c>
      <c r="AA35" s="28">
        <f t="shared" si="36"/>
        <v>71218590.83025831</v>
      </c>
      <c r="AB35" s="13">
        <f t="shared" si="37"/>
        <v>-2.8868793509723826E-2</v>
      </c>
      <c r="AC35" s="30">
        <f t="shared" si="38"/>
        <v>278824945.27675277</v>
      </c>
      <c r="AD35" s="11">
        <f t="shared" si="29"/>
        <v>-1.5546873571921742E-2</v>
      </c>
      <c r="AE35" s="30">
        <f>IF(ISNUMBER(AA35),AA35+AA34+AA33+AA32+AA30+AA29+AA28+AA27+AA26+AA25+AA24+AA23,"")</f>
        <v>910476062.00576389</v>
      </c>
      <c r="AF35" s="41">
        <f t="shared" si="39"/>
        <v>-7.3238814631588879E-3</v>
      </c>
      <c r="AH35" s="37"/>
    </row>
    <row r="36" spans="2:41" ht="14.5" hidden="1" x14ac:dyDescent="0.35">
      <c r="B36" s="14">
        <v>2018</v>
      </c>
      <c r="C36" s="14" t="s">
        <v>25</v>
      </c>
      <c r="D36" s="27">
        <v>25140509</v>
      </c>
      <c r="E36" s="27">
        <v>3566990</v>
      </c>
      <c r="F36" s="28">
        <f t="shared" si="21"/>
        <v>28707499</v>
      </c>
      <c r="G36" s="13">
        <f t="shared" si="30"/>
        <v>4.2553649981251218E-3</v>
      </c>
      <c r="H36" s="30">
        <f t="shared" si="40"/>
        <v>120250254</v>
      </c>
      <c r="I36" s="11">
        <f t="shared" si="22"/>
        <v>-1.9687455728919188E-2</v>
      </c>
      <c r="J36" s="30">
        <f>IF(ISNUMBER(F36),F36+F35+F34+F33+F32+F30+F29+F28+F27+F26+F25+F24,"")</f>
        <v>313302653.15099996</v>
      </c>
      <c r="K36" s="11">
        <f t="shared" si="31"/>
        <v>-1.5686160436802671E-2</v>
      </c>
      <c r="L36" s="27">
        <v>50956447</v>
      </c>
      <c r="M36" s="27">
        <v>2087387</v>
      </c>
      <c r="N36" s="28">
        <f t="shared" si="32"/>
        <v>53043834</v>
      </c>
      <c r="O36" s="13">
        <f t="shared" si="23"/>
        <v>-1.9460419679803523E-3</v>
      </c>
      <c r="P36" s="30">
        <f t="shared" si="33"/>
        <v>236227349</v>
      </c>
      <c r="Q36" s="11">
        <f t="shared" si="24"/>
        <v>-1.012711979894333E-2</v>
      </c>
      <c r="R36" s="30">
        <f>IF(ISNUMBER(N36),N36+N35+N34+N33+N32+N30+N29+N28+N27+N26+N25+N24,"")</f>
        <v>584233086.02100003</v>
      </c>
      <c r="S36" s="41">
        <f t="shared" si="34"/>
        <v>-8.6759793731292743E-3</v>
      </c>
      <c r="T36" s="27">
        <v>710230</v>
      </c>
      <c r="U36" s="32">
        <f t="shared" si="25"/>
        <v>1310387.4538745387</v>
      </c>
      <c r="V36" s="13">
        <f t="shared" si="26"/>
        <v>0.2241428414729934</v>
      </c>
      <c r="W36" s="30">
        <f t="shared" si="27"/>
        <v>5409062.7306273058</v>
      </c>
      <c r="X36" s="11">
        <f t="shared" si="28"/>
        <v>0.145385549774566</v>
      </c>
      <c r="Y36" s="30">
        <f>IF(ISNUMBER(U36),U36+U35+U34+U33+U32+U30+U29+U28+U27+U26+U25+U24,"")</f>
        <v>13198473.674907748</v>
      </c>
      <c r="Z36" s="41">
        <f t="shared" si="41"/>
        <v>0.12984201808885959</v>
      </c>
      <c r="AA36" s="28">
        <f t="shared" si="36"/>
        <v>83061720.453874543</v>
      </c>
      <c r="AB36" s="13">
        <f t="shared" si="37"/>
        <v>3.1176293769855988E-3</v>
      </c>
      <c r="AC36" s="30">
        <f t="shared" si="38"/>
        <v>361886665.7306273</v>
      </c>
      <c r="AD36" s="11">
        <f t="shared" si="29"/>
        <v>-1.1324597399471089E-2</v>
      </c>
      <c r="AE36" s="30">
        <f>IF(ISNUMBER(AA36),AA36+AA35+AA34+AA33+AA32+AA30+AA29+AA28+AA27+AA26+AA25+AA24,"")</f>
        <v>910734212.84690773</v>
      </c>
      <c r="AF36" s="41">
        <f t="shared" si="39"/>
        <v>-9.3429737214129234E-3</v>
      </c>
      <c r="AH36" s="37"/>
    </row>
    <row r="37" spans="2:41" ht="14.5" hidden="1" x14ac:dyDescent="0.35">
      <c r="B37" s="14">
        <v>2018</v>
      </c>
      <c r="C37" s="14" t="s">
        <v>26</v>
      </c>
      <c r="D37" s="27">
        <v>24150945</v>
      </c>
      <c r="E37" s="27">
        <v>3965350</v>
      </c>
      <c r="F37" s="28">
        <f>IF((D37+E37)&gt;0,D37+E37,"")</f>
        <v>28116295</v>
      </c>
      <c r="G37" s="13">
        <f t="shared" si="30"/>
        <v>-5.3355222918484428E-2</v>
      </c>
      <c r="H37" s="30">
        <f t="shared" si="40"/>
        <v>148366549</v>
      </c>
      <c r="I37" s="11">
        <f t="shared" si="22"/>
        <v>-2.6250369142849055E-2</v>
      </c>
      <c r="J37" s="30">
        <f>IF(ISNUMBER(F37),F37+F36+F35+F34+F33+F32+F30+F29+F28+F27+F26+F25,"")</f>
        <v>311717949.76099998</v>
      </c>
      <c r="K37" s="11">
        <f t="shared" si="31"/>
        <v>-2.183015116551933E-2</v>
      </c>
      <c r="L37" s="27">
        <v>50642518</v>
      </c>
      <c r="M37" s="27">
        <v>1669437</v>
      </c>
      <c r="N37" s="28">
        <f t="shared" si="32"/>
        <v>52311955</v>
      </c>
      <c r="O37" s="13">
        <f t="shared" si="23"/>
        <v>6.4850520120905128E-2</v>
      </c>
      <c r="P37" s="30">
        <f t="shared" si="33"/>
        <v>288539304</v>
      </c>
      <c r="Q37" s="11">
        <f t="shared" si="24"/>
        <v>2.6725335495937229E-3</v>
      </c>
      <c r="R37" s="30">
        <f>IF(ISNUMBER(N37),N37+N36+N35+N34+N33+N32+N30+N29+N28+N27+N26+N25,"")</f>
        <v>587418939.27100003</v>
      </c>
      <c r="S37" s="41">
        <f t="shared" si="34"/>
        <v>-6.0060008731666979E-3</v>
      </c>
      <c r="T37" s="27">
        <v>591204</v>
      </c>
      <c r="U37" s="32">
        <f t="shared" si="25"/>
        <v>1090782.2878228782</v>
      </c>
      <c r="V37" s="13">
        <f t="shared" si="26"/>
        <v>-3.1390406072079519E-2</v>
      </c>
      <c r="W37" s="30">
        <f t="shared" si="27"/>
        <v>6499845.0184501838</v>
      </c>
      <c r="X37" s="11">
        <f t="shared" si="28"/>
        <v>0.11134790217368681</v>
      </c>
      <c r="Y37" s="30">
        <f>IF(ISNUMBER(U37),U37+U36+U35+U34+U33+U32+U30+U29+U28+U27+U26+U25,"")</f>
        <v>13163123.93321033</v>
      </c>
      <c r="Z37" s="41">
        <f t="shared" si="41"/>
        <v>0.11529602923664702</v>
      </c>
      <c r="AA37" s="28">
        <f t="shared" si="36"/>
        <v>81519032.287822872</v>
      </c>
      <c r="AB37" s="13">
        <f t="shared" si="37"/>
        <v>1.9583950214579468E-2</v>
      </c>
      <c r="AC37" s="30">
        <f t="shared" si="38"/>
        <v>443405698.01845014</v>
      </c>
      <c r="AD37" s="11">
        <f t="shared" si="29"/>
        <v>-5.7835187860208435E-3</v>
      </c>
      <c r="AE37" s="30">
        <f>IF(ISNUMBER(AA37),AA37+AA36+AA35+AA34+AA33+AA32+AA30+AA29+AA28+AA27+AA26+AA25,"")</f>
        <v>912300012.96521032</v>
      </c>
      <c r="AF37" s="41">
        <f t="shared" si="39"/>
        <v>-9.924959104476062E-3</v>
      </c>
      <c r="AH37" s="37"/>
    </row>
    <row r="38" spans="2:41" ht="14.5" hidden="1" x14ac:dyDescent="0.35">
      <c r="B38" s="14">
        <v>2018</v>
      </c>
      <c r="C38" s="14" t="s">
        <v>27</v>
      </c>
      <c r="D38" s="27">
        <v>25249189</v>
      </c>
      <c r="E38" s="27">
        <v>4534245</v>
      </c>
      <c r="F38" s="28">
        <f t="shared" ref="F38:F43" si="42">IF((D38+E38)&gt;0,D38+E38,"")</f>
        <v>29783434</v>
      </c>
      <c r="G38" s="13">
        <f t="shared" si="30"/>
        <v>-4.0571229366782931E-2</v>
      </c>
      <c r="H38" s="30">
        <f t="shared" si="40"/>
        <v>178149983</v>
      </c>
      <c r="I38" s="11">
        <f t="shared" si="22"/>
        <v>-2.8674244356733658E-2</v>
      </c>
      <c r="J38" s="30">
        <f>IF(ISNUMBER(F38),F38+F37+F36+F35+F34+F33+F32+F30+F29+F28+F27+F26,"")</f>
        <v>310458501.88</v>
      </c>
      <c r="K38" s="11">
        <f t="shared" si="31"/>
        <v>-2.1845323352815072E-2</v>
      </c>
      <c r="L38" s="27">
        <v>52065410</v>
      </c>
      <c r="M38" s="27">
        <v>1636212</v>
      </c>
      <c r="N38" s="28">
        <f t="shared" si="32"/>
        <v>53701622</v>
      </c>
      <c r="O38" s="13">
        <f t="shared" si="23"/>
        <v>5.6723097949494816E-2</v>
      </c>
      <c r="P38" s="30">
        <f t="shared" si="33"/>
        <v>342240926</v>
      </c>
      <c r="Q38" s="11">
        <f t="shared" si="24"/>
        <v>1.0785006939091887E-2</v>
      </c>
      <c r="R38" s="30">
        <f>IF(ISNUMBER(N38),N38+N37+N36+N35+N34+N33+N32+N30+N29+N28+N27+N26,"")</f>
        <v>590301550.97000003</v>
      </c>
      <c r="S38" s="41">
        <f t="shared" si="34"/>
        <v>-1.6745788481839202E-3</v>
      </c>
      <c r="T38" s="27">
        <v>573920</v>
      </c>
      <c r="U38" s="32">
        <f t="shared" si="25"/>
        <v>1058892.9889298892</v>
      </c>
      <c r="V38" s="13">
        <f t="shared" si="26"/>
        <v>-0.29595615556693539</v>
      </c>
      <c r="W38" s="30">
        <f t="shared" si="27"/>
        <v>7558738.007380073</v>
      </c>
      <c r="X38" s="11">
        <f t="shared" si="28"/>
        <v>2.8031903603922763E-2</v>
      </c>
      <c r="Y38" s="30">
        <f>IF(ISNUMBER(U38),U38+U37+U36+U35+U34+U33+U32+U30+U29+U28+U27+U26,"")</f>
        <v>12718001.231494464</v>
      </c>
      <c r="Z38" s="41">
        <f t="shared" si="41"/>
        <v>3.9475406413777593E-2</v>
      </c>
      <c r="AA38" s="28">
        <f t="shared" si="36"/>
        <v>84543948.988929883</v>
      </c>
      <c r="AB38" s="13">
        <f t="shared" si="37"/>
        <v>1.4130969677482204E-2</v>
      </c>
      <c r="AC38" s="30">
        <f t="shared" si="38"/>
        <v>527949647.00738001</v>
      </c>
      <c r="AD38" s="11">
        <f t="shared" si="29"/>
        <v>-2.6472452960065963E-3</v>
      </c>
      <c r="AE38" s="30">
        <f>IF(ISNUMBER(AA38),AA38+AA37+AA36+AA35+AA34+AA33+AA32+AA30+AA29+AA28+AA27+AA26,"")</f>
        <v>913478054.08149445</v>
      </c>
      <c r="AF38" s="41">
        <f t="shared" si="39"/>
        <v>-8.079663610884226E-3</v>
      </c>
      <c r="AH38" s="37"/>
      <c r="AJ38" s="61"/>
    </row>
    <row r="39" spans="2:41" ht="14.5" hidden="1" x14ac:dyDescent="0.35">
      <c r="B39" s="14">
        <v>2018</v>
      </c>
      <c r="C39" s="14" t="s">
        <v>28</v>
      </c>
      <c r="D39" s="27">
        <v>23964286</v>
      </c>
      <c r="E39" s="27">
        <v>4456754</v>
      </c>
      <c r="F39" s="28">
        <f t="shared" si="42"/>
        <v>28421040</v>
      </c>
      <c r="G39" s="13">
        <f>IF(ISNUMBER(F39),(F39-F26)/F26,"")</f>
        <v>-6.2121356388300582E-2</v>
      </c>
      <c r="H39" s="30">
        <f>IF(ISNUMBER(F39),F39+H38,"")</f>
        <v>206571023</v>
      </c>
      <c r="I39" s="11">
        <f>IF(ISNUMBER(H39),(H39-H26)/H26,"")</f>
        <v>-3.3416901618624047E-2</v>
      </c>
      <c r="J39" s="30">
        <f>IF(ISNUMBER(F39),F39+F38+F37+F36+F35+F34+F33+F32+F30+F29+F28+F27,"")</f>
        <v>308576005.06999999</v>
      </c>
      <c r="K39" s="11">
        <f t="shared" si="31"/>
        <v>-2.7224944134325042E-2</v>
      </c>
      <c r="L39" s="27">
        <v>55042284</v>
      </c>
      <c r="M39" s="27">
        <v>2097143</v>
      </c>
      <c r="N39" s="28">
        <f>IF((L39+M39)&gt;0,L39+M39,"")</f>
        <v>57139427</v>
      </c>
      <c r="O39" s="13">
        <f>IF(ISNUMBER(N39),(N39-N26)/N26,"")</f>
        <v>5.7768907315201387E-2</v>
      </c>
      <c r="P39" s="30">
        <f>IF(ISNUMBER(N39),P38+N39,"")</f>
        <v>399380353</v>
      </c>
      <c r="Q39" s="11">
        <f>IF(ISNUMBER(N39),(P39-P26)/P26,"")</f>
        <v>1.7249506978789513E-2</v>
      </c>
      <c r="R39" s="30">
        <f>IF(ISNUMBER(N39),N39+N38+N37+N36+N35+N34+N33+N32+N30+N29+N28+N27,"")</f>
        <v>593422159.11000001</v>
      </c>
      <c r="S39" s="41">
        <f t="shared" si="34"/>
        <v>3.3523987215764782E-3</v>
      </c>
      <c r="T39" s="27">
        <v>866025</v>
      </c>
      <c r="U39" s="32">
        <f>IF(ISNUMBER(T39),T39/$U$4,"")</f>
        <v>1597832.1033210331</v>
      </c>
      <c r="V39" s="13">
        <f>IF(ISNUMBER(U39),(U39-U26)/U26,"")</f>
        <v>0.36504742527277356</v>
      </c>
      <c r="W39" s="30">
        <f>IF(ISNUMBER(U39),W38+U39,"")</f>
        <v>9156570.1107011065</v>
      </c>
      <c r="X39" s="11">
        <f>IF(ISNUMBER(U39),(W39-W26)/W26,"")</f>
        <v>7.4316081871253242E-2</v>
      </c>
      <c r="Y39" s="30">
        <f>IF(ISNUMBER(U39),U39+U38+U37+U36+U35+U34+U33+U32+U30+U29+U28+U27,"")</f>
        <v>13145301.034077492</v>
      </c>
      <c r="Z39" s="41">
        <f t="shared" si="41"/>
        <v>6.8491061110411477E-2</v>
      </c>
      <c r="AA39" s="28">
        <f t="shared" si="36"/>
        <v>87158299.103321031</v>
      </c>
      <c r="AB39" s="13">
        <f>IF(ISNUMBER(AA39),(AA39-AA26)/AA26,"")</f>
        <v>1.9480113166291085E-2</v>
      </c>
      <c r="AC39" s="30">
        <f t="shared" si="38"/>
        <v>615107946.11070108</v>
      </c>
      <c r="AD39" s="11">
        <f>IF(ISNUMBER(AA39),(AC39-AC26)/AC26,"")</f>
        <v>4.2952249968548168E-4</v>
      </c>
      <c r="AE39" s="30">
        <f>IF(ISNUMBER(AA39),AA39+AA38+AA37+AA36+AA35+AA34+AA33+AA32+AA30+AA29+AA28+AA27,"")</f>
        <v>915143465.21407747</v>
      </c>
      <c r="AF39" s="41">
        <f t="shared" si="39"/>
        <v>-6.309453010384475E-3</v>
      </c>
      <c r="AH39" s="37"/>
    </row>
    <row r="40" spans="2:41" ht="14.5" hidden="1" x14ac:dyDescent="0.35">
      <c r="B40" s="14">
        <v>2018</v>
      </c>
      <c r="C40" s="14" t="s">
        <v>29</v>
      </c>
      <c r="D40" s="27">
        <v>20717413</v>
      </c>
      <c r="E40" s="27">
        <v>4108126</v>
      </c>
      <c r="F40" s="28">
        <f t="shared" si="42"/>
        <v>24825539</v>
      </c>
      <c r="G40" s="13">
        <f>IF(ISNUMBER(F40),(F40-F27)/F27,"")</f>
        <v>-7.570960095164779E-2</v>
      </c>
      <c r="H40" s="30">
        <f>IF(ISNUMBER(F40),F40+H39,"")</f>
        <v>231396562</v>
      </c>
      <c r="I40" s="11">
        <f>IF(ISNUMBER(H40),(H40-H27)/H27,"")</f>
        <v>-3.8138740679309772E-2</v>
      </c>
      <c r="J40" s="30">
        <f>IF(ISNUMBER(F40),F40+F39+F38+F37+F36+F35+F34+F33+F32+F30+F29+F28,"")</f>
        <v>306542519</v>
      </c>
      <c r="K40" s="11">
        <f t="shared" si="31"/>
        <v>-2.9541329905923546E-2</v>
      </c>
      <c r="L40" s="27">
        <v>48083593</v>
      </c>
      <c r="M40" s="27">
        <v>1248510</v>
      </c>
      <c r="N40" s="28">
        <f>IF((L40+M40)&gt;0,L40+M40,"")</f>
        <v>49332103</v>
      </c>
      <c r="O40" s="13">
        <f>IF(ISNUMBER(N40),(N40-N27)/N27,"")</f>
        <v>-3.1732825757167939E-2</v>
      </c>
      <c r="P40" s="30">
        <f>IF(ISNUMBER(N40),P39+N40,"")</f>
        <v>448712456</v>
      </c>
      <c r="Q40" s="11">
        <f>IF(ISNUMBER(N40),(P40-P27)/P27,"")</f>
        <v>1.162318562337665E-2</v>
      </c>
      <c r="R40" s="30">
        <f>IF(ISNUMBER(N40),N40+N39+N38+N37+N36+N35+N34+N33+N32+N30+N29+N28,"")</f>
        <v>591805408</v>
      </c>
      <c r="S40" s="41">
        <f t="shared" si="34"/>
        <v>4.0457447949875649E-3</v>
      </c>
      <c r="T40" s="27">
        <v>625555</v>
      </c>
      <c r="U40" s="32">
        <f>IF(ISNUMBER(T40),T40/$U$4,"")</f>
        <v>1154160.516605166</v>
      </c>
      <c r="V40" s="13">
        <f>IF(ISNUMBER(U40),(U40-U27)/U27,"")</f>
        <v>0.12758902586249676</v>
      </c>
      <c r="W40" s="30">
        <f>IF(ISNUMBER(U40),W39+U40,"")</f>
        <v>10310730.627306273</v>
      </c>
      <c r="X40" s="11">
        <f>IF(ISNUMBER(U40),(W40-W27)/W27,"")</f>
        <v>8.0027810535228144E-2</v>
      </c>
      <c r="Y40" s="30">
        <f>IF(ISNUMBER(U40),U40+U39+U38+U37+U36+U35+U34+U33+U32+U30+U29+U28,"")</f>
        <v>13275896.67896679</v>
      </c>
      <c r="Z40" s="41">
        <f t="shared" si="41"/>
        <v>7.6461850116463809E-2</v>
      </c>
      <c r="AA40" s="28">
        <f t="shared" ref="AA40:AA56" si="43">F40+N40+U40</f>
        <v>75311802.516605169</v>
      </c>
      <c r="AB40" s="13">
        <f>IF(ISNUMBER(AA40),(AA40-AA27)/AA27,"")</f>
        <v>-4.4647685672251768E-2</v>
      </c>
      <c r="AC40" s="30">
        <f t="shared" si="38"/>
        <v>690419748.62730622</v>
      </c>
      <c r="AD40" s="11">
        <f>IF(ISNUMBER(AA40),(AC40-AC27)/AC27,"")</f>
        <v>-4.693193285990601E-3</v>
      </c>
      <c r="AE40" s="30">
        <f>IF(ISNUMBER(AA40),AA40+AA39+AA38+AA37+AA36+AA35+AA34+AA33+AA32+AA30+AA29+AA28,"")</f>
        <v>911623823.67896676</v>
      </c>
      <c r="AF40" s="41">
        <f t="shared" si="39"/>
        <v>-6.5426234917589799E-3</v>
      </c>
    </row>
    <row r="41" spans="2:41" ht="14.5" hidden="1" x14ac:dyDescent="0.35">
      <c r="B41" s="14">
        <v>2018</v>
      </c>
      <c r="C41" s="14" t="s">
        <v>30</v>
      </c>
      <c r="D41" s="33">
        <v>20557177</v>
      </c>
      <c r="E41" s="33">
        <v>3719947</v>
      </c>
      <c r="F41" s="28">
        <f t="shared" si="42"/>
        <v>24277124</v>
      </c>
      <c r="G41" s="13">
        <f>IF(ISNUMBER(F41),(F41-F28)/F28,"")</f>
        <v>-6.1271690605205417E-2</v>
      </c>
      <c r="H41" s="30">
        <f>IF(ISNUMBER(F41),F41+H40,"")</f>
        <v>255673686</v>
      </c>
      <c r="I41" s="11">
        <f>IF(ISNUMBER(H41),(H41-H28)/H28,"")</f>
        <v>-4.038417165454241E-2</v>
      </c>
      <c r="J41" s="30">
        <f>IF(ISNUMBER(F41),F41+F40+F39+F38+F37+F36+F35+F34+F33+F32+F30+F29,"")</f>
        <v>304957928</v>
      </c>
      <c r="K41" s="11">
        <f t="shared" si="31"/>
        <v>-3.2984470049052507E-2</v>
      </c>
      <c r="L41" s="33">
        <v>50835293</v>
      </c>
      <c r="M41" s="33">
        <v>1205064</v>
      </c>
      <c r="N41" s="28">
        <f>IF((L41+M41)&gt;0,L41+M41,"")</f>
        <v>52040357</v>
      </c>
      <c r="O41" s="13">
        <f>IF(ISNUMBER(N41),(N41-N28)/N28,"")</f>
        <v>3.0228975529636312E-2</v>
      </c>
      <c r="P41" s="30">
        <f>IF(ISNUMBER(N41),P40+N41,"")</f>
        <v>500752813</v>
      </c>
      <c r="Q41" s="11">
        <f>IF(ISNUMBER(N41),(P41-P28)/P28,"")</f>
        <v>1.3525428081366414E-2</v>
      </c>
      <c r="R41" s="30">
        <f>IF(ISNUMBER(N41),N41+N40+N39+N38+N37+N36+N35+N34+N33+N32+N30+N29,"")</f>
        <v>593332376</v>
      </c>
      <c r="S41" s="41">
        <f t="shared" si="34"/>
        <v>8.2194062355507146E-3</v>
      </c>
      <c r="T41" s="25">
        <v>631999</v>
      </c>
      <c r="U41" s="32">
        <f>IF(ISNUMBER(T41),T41/$U$4,"")</f>
        <v>1166049.8154981548</v>
      </c>
      <c r="V41" s="13">
        <f>IF(ISNUMBER(U41),(U41-U28)/U28,"")</f>
        <v>0.16399028287587081</v>
      </c>
      <c r="W41" s="30">
        <f>IF(ISNUMBER(U41),W40+U41,"")</f>
        <v>11476780.442804428</v>
      </c>
      <c r="X41" s="11">
        <f>IF(ISNUMBER(U41),(W41-W28)/W28,"")</f>
        <v>8.8001556793752989E-2</v>
      </c>
      <c r="Y41" s="30">
        <f>IF(ISNUMBER(U41),U41+U40+U39+U38+U37+U36+U35+U34+U33+U32+U30+U29,"")</f>
        <v>13440177.121771218</v>
      </c>
      <c r="Z41" s="41">
        <f t="shared" si="41"/>
        <v>8.9854315833071199E-2</v>
      </c>
      <c r="AA41" s="28">
        <f t="shared" si="43"/>
        <v>77483530.815498158</v>
      </c>
      <c r="AB41" s="13">
        <f>IF(ISNUMBER(AA41),(AA41-AA28)/AA28,"")</f>
        <v>1.3784149986353069E-3</v>
      </c>
      <c r="AC41" s="30">
        <f t="shared" si="38"/>
        <v>767903279.44280434</v>
      </c>
      <c r="AD41" s="11">
        <f>IF(ISNUMBER(AA41),(AC41-AC28)/AC28,"")</f>
        <v>-4.0838933175987571E-3</v>
      </c>
      <c r="AE41" s="30">
        <f>IF(ISNUMBER(AA41),AA41+AA40+AA39+AA38+AA37+AA36+AA35+AA34+AA33+AA32+AA30+AA29,"")</f>
        <v>911730481.1217711</v>
      </c>
      <c r="AF41" s="41">
        <f t="shared" si="39"/>
        <v>-4.8645145417454926E-3</v>
      </c>
    </row>
    <row r="42" spans="2:41" ht="14.5" hidden="1" x14ac:dyDescent="0.35">
      <c r="B42" s="14">
        <v>2018</v>
      </c>
      <c r="C42" s="14" t="s">
        <v>31</v>
      </c>
      <c r="D42" s="33">
        <v>19932706</v>
      </c>
      <c r="E42" s="33">
        <v>3495026</v>
      </c>
      <c r="F42" s="28">
        <f t="shared" si="42"/>
        <v>23427732</v>
      </c>
      <c r="G42" s="13">
        <f>IF(ISNUMBER(F42),(F42-F29)/F29,"")</f>
        <v>-7.3245187250575673E-3</v>
      </c>
      <c r="H42" s="30">
        <f>IF(ISNUMBER(F42),F42+H41,"")</f>
        <v>279101418</v>
      </c>
      <c r="I42" s="11">
        <f>IF(ISNUMBER(H42),(H42-H29)/H29,"")</f>
        <v>-3.7694047206013964E-2</v>
      </c>
      <c r="J42" s="30">
        <f>IF(ISNUMBER(F42),F42+F41+F40+F39+F38+F37+F36+F35+F34+F33+F32+F30,"")</f>
        <v>304785065</v>
      </c>
      <c r="K42" s="11">
        <f t="shared" si="31"/>
        <v>-3.2168894970743232E-2</v>
      </c>
      <c r="L42" s="33">
        <v>49520020</v>
      </c>
      <c r="M42" s="33">
        <v>1199708</v>
      </c>
      <c r="N42" s="28">
        <f>IF((L42+M42)&gt;0,L42+M42,"")</f>
        <v>50719728</v>
      </c>
      <c r="O42" s="13">
        <f>IF(ISNUMBER(N42),(N42-N29)/N29,"")</f>
        <v>7.3154671870197016E-2</v>
      </c>
      <c r="P42" s="30">
        <f>IF(ISNUMBER(N42),P41+N42,"")</f>
        <v>551472541</v>
      </c>
      <c r="Q42" s="11">
        <f>IF(ISNUMBER(N42),(P42-P29)/P29,"")</f>
        <v>1.873149489006521E-2</v>
      </c>
      <c r="R42" s="30">
        <f>IF(ISNUMBER(N42),N42+N41+N40+N39+N38+N37+N36+N35+N34+N33+N32+N30,"")</f>
        <v>596789832</v>
      </c>
      <c r="S42" s="41">
        <f t="shared" si="34"/>
        <v>1.7611398445736028E-2</v>
      </c>
      <c r="T42" s="33">
        <v>581884</v>
      </c>
      <c r="U42" s="32">
        <f>IF(ISNUMBER(T42),T42/$U$4,"")</f>
        <v>1073586.7158671585</v>
      </c>
      <c r="V42" s="13">
        <f>IF(ISNUMBER(U42),(U42-U29)/U29,"")</f>
        <v>0.1212761201507665</v>
      </c>
      <c r="W42" s="30">
        <f>IF(ISNUMBER(U42),W41+U42,"")</f>
        <v>12550367.158671586</v>
      </c>
      <c r="X42" s="11">
        <f>IF(ISNUMBER(U42),(W42-W29)/W29,"")</f>
        <v>9.0770498886793421E-2</v>
      </c>
      <c r="Y42" s="30">
        <f>IF(ISNUMBER(U42),U42+U41+U40+U39+U38+U37+U36+U35+U34+U33+U32+U30,"")</f>
        <v>13556295.202952029</v>
      </c>
      <c r="Z42" s="41">
        <f t="shared" si="41"/>
        <v>9.3228227653006618E-2</v>
      </c>
      <c r="AA42" s="28">
        <f t="shared" si="43"/>
        <v>75221046.715867162</v>
      </c>
      <c r="AB42" s="13">
        <f>IF(ISNUMBER(AA42),(AA42-AA29)/AA29,"")</f>
        <v>4.7350253255268877E-2</v>
      </c>
      <c r="AC42" s="30">
        <f t="shared" si="38"/>
        <v>843124326.1586715</v>
      </c>
      <c r="AD42" s="11">
        <f>IF(ISNUMBER(AA42),(AC42-AC29)/AC29,"")</f>
        <v>2.9875960625505788E-4</v>
      </c>
      <c r="AE42" s="30">
        <f>IF(ISNUMBER(AA42),AA42+AA41+AA40+AA39+AA38+AA37+AA36+AA35+AA34+AA33+AA32+AA30,"")</f>
        <v>915131192.20295215</v>
      </c>
      <c r="AF42" s="41">
        <f t="shared" si="39"/>
        <v>1.4817323049648543E-3</v>
      </c>
    </row>
    <row r="43" spans="2:41" ht="14.5" hidden="1" x14ac:dyDescent="0.35">
      <c r="B43" s="14">
        <v>2018</v>
      </c>
      <c r="C43" s="14" t="s">
        <v>32</v>
      </c>
      <c r="D43" s="33">
        <v>19848718</v>
      </c>
      <c r="E43" s="33">
        <v>4319168</v>
      </c>
      <c r="F43" s="28">
        <f t="shared" si="42"/>
        <v>24167886</v>
      </c>
      <c r="G43" s="13">
        <f>IF(ISNUMBER(F43),(F43-F30)/F30,"")</f>
        <v>-5.9016579693686025E-2</v>
      </c>
      <c r="H43" s="30">
        <f>IF(ISNUMBER(F43),F43+H42,"")</f>
        <v>303269304</v>
      </c>
      <c r="I43" s="11">
        <f>IF(ISNUMBER(H43),(H43-H30)/H30,"")</f>
        <v>-3.9428636485117088E-2</v>
      </c>
      <c r="J43" s="30">
        <f>IF(ISNUMBER(F43),F43+F42+F41+F40+F39+F38+F37+F36+F35+F34+F33+F32,"")</f>
        <v>303269304</v>
      </c>
      <c r="K43" s="11">
        <f t="shared" si="31"/>
        <v>-3.9428636485116908E-2</v>
      </c>
      <c r="L43" s="33">
        <v>46362684</v>
      </c>
      <c r="M43" s="33">
        <v>1010215</v>
      </c>
      <c r="N43" s="28">
        <f>IF((L43+M43)&gt;0,L43+M43,"")</f>
        <v>47372899</v>
      </c>
      <c r="O43" s="13">
        <f>IF(ISNUMBER(N43),(N43-N30)/N30,"")</f>
        <v>4.5360346010091382E-2</v>
      </c>
      <c r="P43" s="30">
        <f>IF(ISNUMBER(N43),P42+N43,"")</f>
        <v>598845440</v>
      </c>
      <c r="Q43" s="11">
        <f>IF(ISNUMBER(N43),(P43-P30)/P30,"")</f>
        <v>2.0788509593230795E-2</v>
      </c>
      <c r="R43" s="30">
        <f>IF(ISNUMBER(N43),N43+N42+N41+N40+N39+N38+N37+N36+N35+N34+N33+N32,"")</f>
        <v>598845440</v>
      </c>
      <c r="S43" s="41">
        <f t="shared" si="34"/>
        <v>2.0788509593230586E-2</v>
      </c>
      <c r="T43" s="25">
        <v>597991</v>
      </c>
      <c r="U43" s="32">
        <f>IF(ISNUMBER(T43),T43/$U$4,"")</f>
        <v>1103304.4280442803</v>
      </c>
      <c r="V43" s="13">
        <f>IF(ISNUMBER(U43),(U43-U30)/U30,"")</f>
        <v>9.6802534055497449E-2</v>
      </c>
      <c r="W43" s="30">
        <f>IF(ISNUMBER(U43),W42+U43,"")</f>
        <v>13653671.586715866</v>
      </c>
      <c r="X43" s="11">
        <f>IF(ISNUMBER(U43),(W43-W30)/W30,"")</f>
        <v>9.1255460940874791E-2</v>
      </c>
      <c r="Y43" s="30">
        <f>IF(ISNUMBER(U43),U43+U42+U41+U40+U39+U38+U37+U36+U34+U33+U32+U32,"")</f>
        <v>13621538.745387452</v>
      </c>
      <c r="Z43" s="41">
        <f t="shared" si="41"/>
        <v>9.9303896418360807E-2</v>
      </c>
      <c r="AA43" s="28">
        <f t="shared" si="43"/>
        <v>72644089.428044274</v>
      </c>
      <c r="AB43" s="13">
        <f>IF(ISNUMBER(AA43),(AA43-AA30)/AA30,"")</f>
        <v>8.8494808727264413E-3</v>
      </c>
      <c r="AC43" s="30">
        <f t="shared" si="38"/>
        <v>915768415.58671582</v>
      </c>
      <c r="AD43" s="11">
        <f>IF(ISNUMBER(AA43),(AC43-AC30)/AC30,"")</f>
        <v>9.7175613126875677E-4</v>
      </c>
      <c r="AE43" s="30">
        <f>IF(ISNUMBER(AA43),AA43+AA42+AA41+AA40+AA39+AA38+AA37+AA36+AA35+AA34+AA33+AA32,"")</f>
        <v>915768415.58671582</v>
      </c>
      <c r="AF43" s="41">
        <f t="shared" si="39"/>
        <v>9.7175613126875677E-4</v>
      </c>
      <c r="AI43"/>
      <c r="AJ43"/>
      <c r="AK43"/>
      <c r="AL43"/>
      <c r="AM43"/>
      <c r="AN43"/>
      <c r="AO43"/>
    </row>
    <row r="44" spans="2:41" ht="14.5" hidden="1" x14ac:dyDescent="0.35">
      <c r="B44" s="15">
        <v>2018</v>
      </c>
      <c r="C44" s="15" t="s">
        <v>33</v>
      </c>
      <c r="D44" s="34">
        <f>SUM(D32:D43)</f>
        <v>263348636</v>
      </c>
      <c r="E44" s="34">
        <f>SUM(E32:E43)</f>
        <v>39920668</v>
      </c>
      <c r="F44" s="34">
        <f>SUM(F32:F43)</f>
        <v>303269304</v>
      </c>
      <c r="G44" s="35"/>
      <c r="H44" s="35"/>
      <c r="I44" s="35"/>
      <c r="J44" s="35"/>
      <c r="K44" s="35"/>
      <c r="L44" s="34">
        <f>SUM(L32:L43)</f>
        <v>581058730</v>
      </c>
      <c r="M44" s="34">
        <f>SUM(M32:M43)</f>
        <v>17786710</v>
      </c>
      <c r="N44" s="34">
        <f>SUM(N32:N43)</f>
        <v>598845440</v>
      </c>
      <c r="O44" s="35"/>
      <c r="P44" s="35"/>
      <c r="Q44" s="35"/>
      <c r="R44" s="35"/>
      <c r="S44" s="35"/>
      <c r="T44" s="34">
        <f>SUM(T32:T43)</f>
        <v>7400290</v>
      </c>
      <c r="U44" s="34">
        <f>SUM(U32:U43)</f>
        <v>13653671.586715866</v>
      </c>
      <c r="V44" s="35"/>
      <c r="W44" s="35"/>
      <c r="X44" s="35"/>
      <c r="Y44" s="35"/>
      <c r="Z44" s="35"/>
      <c r="AA44" s="34">
        <f t="shared" si="43"/>
        <v>915768415.58671582</v>
      </c>
      <c r="AB44" s="35"/>
      <c r="AC44" s="35"/>
      <c r="AD44" s="35"/>
      <c r="AE44" s="35"/>
      <c r="AF44" s="35"/>
      <c r="AI44"/>
      <c r="AJ44"/>
      <c r="AK44" s="60"/>
      <c r="AL44" s="60"/>
      <c r="AM44" s="60"/>
      <c r="AN44" s="60"/>
      <c r="AO44" s="60"/>
    </row>
    <row r="45" spans="2:41" ht="14.5" x14ac:dyDescent="0.35">
      <c r="B45" s="14">
        <v>2019</v>
      </c>
      <c r="C45" s="14" t="s">
        <v>20</v>
      </c>
      <c r="D45" s="27">
        <v>18197693</v>
      </c>
      <c r="E45" s="27">
        <v>3894081</v>
      </c>
      <c r="F45" s="28">
        <f t="shared" ref="F45:F49" si="44">IF((D45+E45)&gt;0,D45+E45,"")</f>
        <v>22091774</v>
      </c>
      <c r="G45" s="13">
        <f>IF(ISNUMBER(F45),(F45-F32)/F32,"")</f>
        <v>1.1287516028695738E-2</v>
      </c>
      <c r="H45" s="30">
        <f>IF(F45&gt;0,F45,"")</f>
        <v>22091774</v>
      </c>
      <c r="I45" s="11">
        <f t="shared" ref="I45:I51" si="45">IF(ISNUMBER(H45),(H45-H32)/H32,"")</f>
        <v>1.1287516028695738E-2</v>
      </c>
      <c r="J45" s="30">
        <f>IF(ISNUMBER(F45),F45+F43+F42+F41+F40+F39+F38+F37+F36+F35+F34+F33,"")</f>
        <v>303515882</v>
      </c>
      <c r="K45" s="11">
        <f>IF(ISNUMBER(J45),(J45-J32)/J32,"")</f>
        <v>-3.3288470857853809E-2</v>
      </c>
      <c r="L45" s="27">
        <v>51482545</v>
      </c>
      <c r="M45" s="27">
        <v>1018927</v>
      </c>
      <c r="N45" s="28">
        <f>IF((L45+M45)&gt;0,L45+M45,"")</f>
        <v>52501472</v>
      </c>
      <c r="O45" s="13">
        <f t="shared" ref="O45:O51" si="46">IF(ISNUMBER(N45),(N45-N32)/N32,"")</f>
        <v>0.15805981407551137</v>
      </c>
      <c r="P45" s="30">
        <f>N45</f>
        <v>52501472</v>
      </c>
      <c r="Q45" s="11">
        <f t="shared" ref="Q45:Q51" si="47">IF(ISNUMBER(N45),(P45-P32)/P32,"")</f>
        <v>0.15805981407551137</v>
      </c>
      <c r="R45" s="30">
        <f>IF(ISNUMBER(N45),N45+N43+N42+N41+N40+N39+N38+N37+N36+N35+N34+N33,"")</f>
        <v>606011195</v>
      </c>
      <c r="S45" s="41">
        <f>IF(ISNUMBER(R45),(R45-R32)/R32,"")</f>
        <v>3.4978662228201243E-2</v>
      </c>
      <c r="T45" s="27">
        <v>606869</v>
      </c>
      <c r="U45" s="32">
        <f t="shared" ref="U45" si="48">IF(ISNUMBER(T45),T45/$U$4,"")</f>
        <v>1119684.5018450185</v>
      </c>
      <c r="V45" s="13">
        <f t="shared" ref="V45:V51" si="49">IF(ISNUMBER(U45),(U45-U32)/U32,"")</f>
        <v>9.5696431988964881E-2</v>
      </c>
      <c r="W45" s="30">
        <f t="shared" ref="W45:W51" si="50">IF(ISNUMBER(U45),W44+U45,"")</f>
        <v>1119684.5018450185</v>
      </c>
      <c r="X45" s="11">
        <f t="shared" ref="X45:X51" si="51">IF(ISNUMBER(U45),(W45-W32)/W32,"")</f>
        <v>9.5696431988964881E-2</v>
      </c>
      <c r="Y45" s="30">
        <f>IF(ISNUMBER(U45),U45+U43+U42+U41+U40+U39+U38+U37+U36+U35+U34+U33,"")</f>
        <v>13751463.099630995</v>
      </c>
      <c r="Z45" s="41">
        <f>IF(ISNUMBER(Y45),(Y45-Y32)/Y32,"")</f>
        <v>8.5150318453841953E-2</v>
      </c>
      <c r="AA45" s="28">
        <f t="shared" si="43"/>
        <v>75712930.501845017</v>
      </c>
      <c r="AB45" s="13">
        <f>IF(ISNUMBER(AA45),(AA45-AA32)/AA32,"")</f>
        <v>0.11011459725182152</v>
      </c>
      <c r="AC45" s="30">
        <f>IF(ISNUMBER(AA45),AA45,"")</f>
        <v>75712930.501845017</v>
      </c>
      <c r="AD45" s="11">
        <f t="shared" ref="AD45:AD51" si="52">IF(ISNUMBER(AA45),(AC45-AC32)/AC32,"")</f>
        <v>0.11011459725182152</v>
      </c>
      <c r="AE45" s="30">
        <f>IF(ISNUMBER(AA45),AA45+AA43+AA42+AA41+AA40+AA39+AA38+AA37+AA36+AA35+AA34+AA33,"")</f>
        <v>923278540.09963107</v>
      </c>
      <c r="AF45" s="41">
        <f>IF(ISNUMBER(AE45),(AE45-AE32)/AE32,"")</f>
        <v>1.2178242237400258E-2</v>
      </c>
      <c r="AH45" s="37"/>
    </row>
    <row r="46" spans="2:41" ht="14.5" x14ac:dyDescent="0.35">
      <c r="B46" s="14">
        <v>2019</v>
      </c>
      <c r="C46" s="14" t="s">
        <v>22</v>
      </c>
      <c r="D46" s="27">
        <v>16593009.386</v>
      </c>
      <c r="E46" s="27">
        <v>3131580.9610000001</v>
      </c>
      <c r="F46" s="28">
        <f t="shared" si="44"/>
        <v>19724590.346999999</v>
      </c>
      <c r="G46" s="13">
        <f t="shared" ref="G46:G51" si="53">IF(ISNUMBER(F46),(F46-F33)/F33,"")</f>
        <v>-9.6772360751803274E-2</v>
      </c>
      <c r="H46" s="30">
        <f>IF(ISNUMBER(F46),F46+H45,"")</f>
        <v>41816364.347000003</v>
      </c>
      <c r="I46" s="11">
        <f t="shared" si="45"/>
        <v>-4.2733392034917973E-2</v>
      </c>
      <c r="J46" s="30">
        <f>IF(ISNUMBER(F46),F46+F45+F43+F42+F41+F40+F39+F38+F37+F36+F35+F34,"")</f>
        <v>301402577.347</v>
      </c>
      <c r="K46" s="11">
        <f t="shared" ref="K46:K56" si="54">IF(ISNUMBER(J46),(J46-J33)/J33,"")</f>
        <v>-4.1766740874990597E-2</v>
      </c>
      <c r="L46" s="27">
        <v>43447014.317000017</v>
      </c>
      <c r="M46" s="27">
        <v>777450.42200000014</v>
      </c>
      <c r="N46" s="28">
        <f>IF((L46+M46)&gt;0,L46+M46,"")</f>
        <v>44224464.739000015</v>
      </c>
      <c r="O46" s="13">
        <f t="shared" si="46"/>
        <v>-1.0733709139083111E-3</v>
      </c>
      <c r="P46" s="30">
        <f t="shared" ref="P46:P51" si="55">IF(ISNUMBER(N46),P45+N46,"")</f>
        <v>96725936.739000022</v>
      </c>
      <c r="Q46" s="11">
        <f t="shared" si="47"/>
        <v>7.9437755685331846E-2</v>
      </c>
      <c r="R46" s="30">
        <f>IF(ISNUMBER(N46),N46+N45+N43+N42+N41+N40+N39+N38+N37+N36+N35+N34,"")</f>
        <v>605963674.73900008</v>
      </c>
      <c r="S46" s="41">
        <f t="shared" ref="S46:S56" si="56">IF(ISNUMBER(R46),(R46-R33)/R33,"")</f>
        <v>3.204498293723871E-2</v>
      </c>
      <c r="T46" s="27">
        <v>538307</v>
      </c>
      <c r="U46" s="32">
        <v>893461.48</v>
      </c>
      <c r="V46" s="13">
        <f t="shared" si="49"/>
        <v>-5.6902351121965226E-2</v>
      </c>
      <c r="W46" s="30">
        <f t="shared" si="50"/>
        <v>2013145.9818450185</v>
      </c>
      <c r="X46" s="11">
        <f t="shared" si="51"/>
        <v>2.2284484943879225E-2</v>
      </c>
      <c r="Y46" s="30">
        <f>IF(ISNUMBER(U46),U46+U45+U43+U42+U41+U40+U39+U38+U37+U36+U35+U34,"")</f>
        <v>13697555.575940959</v>
      </c>
      <c r="Z46" s="41">
        <f t="shared" ref="Z46" si="57">IF(ISNUMBER(Y46),(Y46-Y33)/Y33,"")</f>
        <v>6.9660546502524748E-2</v>
      </c>
      <c r="AA46" s="28">
        <f t="shared" si="43"/>
        <v>64842516.566000007</v>
      </c>
      <c r="AB46" s="13">
        <f t="shared" ref="AB46:AB51" si="58">IF(ISNUMBER(AA46),(AA46-AA33)/AA33,"")</f>
        <v>-3.3027487267903798E-2</v>
      </c>
      <c r="AC46" s="30">
        <f t="shared" ref="AC46:AC56" si="59">IF(ISNUMBER(AA46),AC45+AA46,"")</f>
        <v>140555447.06784502</v>
      </c>
      <c r="AD46" s="11">
        <f t="shared" si="52"/>
        <v>3.9149711091822435E-2</v>
      </c>
      <c r="AE46" s="30">
        <f>IF(ISNUMBER(AA46),AA46+AA45+AA43+AA42+AA41+AA40+AA39+AA38+AA37+AA36+AA35+AA34,"")</f>
        <v>921063807.66194105</v>
      </c>
      <c r="AF46" s="41">
        <f t="shared" ref="AF46:AF56" si="60">IF(ISNUMBER(AE46),(AE46-AE33)/AE33,"")</f>
        <v>7.1841894247103889E-3</v>
      </c>
      <c r="AH46" s="37"/>
    </row>
    <row r="47" spans="2:41" ht="14.5" x14ac:dyDescent="0.35">
      <c r="B47" s="14">
        <v>2019</v>
      </c>
      <c r="C47" s="14" t="s">
        <v>23</v>
      </c>
      <c r="D47" s="27">
        <v>19561117.317000002</v>
      </c>
      <c r="E47" s="27">
        <v>3893187.7289999994</v>
      </c>
      <c r="F47" s="28">
        <f t="shared" si="44"/>
        <v>23454305.046</v>
      </c>
      <c r="G47" s="13">
        <f t="shared" si="53"/>
        <v>-1.3212861404406098E-2</v>
      </c>
      <c r="H47" s="30">
        <f t="shared" ref="H47:H51" si="61">IF(ISNUMBER(F47),F47+H46,"")</f>
        <v>65270669.393000007</v>
      </c>
      <c r="I47" s="11">
        <f t="shared" si="45"/>
        <v>-3.2331029221553703E-2</v>
      </c>
      <c r="J47" s="30">
        <f>IF(ISNUMBER(F47),F47+F46+F45+F43+F42+F41+F40+F39+F38+F37+F36+F35,"")</f>
        <v>301088529.39300001</v>
      </c>
      <c r="K47" s="11">
        <f t="shared" si="54"/>
        <v>-4.1659508509400679E-2</v>
      </c>
      <c r="L47" s="27">
        <v>46816973.928999998</v>
      </c>
      <c r="M47" s="27">
        <v>828493.63299999968</v>
      </c>
      <c r="N47" s="28">
        <f t="shared" ref="N47:N51" si="62">IF((L47+M47)&gt;0,L47+M47,"")</f>
        <v>47645467.561999999</v>
      </c>
      <c r="O47" s="13">
        <f t="shared" si="46"/>
        <v>3.0084392295581168E-3</v>
      </c>
      <c r="P47" s="30">
        <f t="shared" si="55"/>
        <v>144371404.30100003</v>
      </c>
      <c r="Q47" s="11">
        <f t="shared" si="47"/>
        <v>5.295842373897916E-2</v>
      </c>
      <c r="R47" s="30">
        <f>IF(ISNUMBER(N47),N47+N46+N45+N43+N42+N41+N40+N39+N38+N37+N36+N35,"")</f>
        <v>606106583.301</v>
      </c>
      <c r="S47" s="41">
        <f t="shared" si="56"/>
        <v>3.5142769185651103E-2</v>
      </c>
      <c r="T47" s="27"/>
      <c r="U47" s="32">
        <v>1009569.606</v>
      </c>
      <c r="V47" s="13">
        <f t="shared" si="49"/>
        <v>-6.1203845774285309E-2</v>
      </c>
      <c r="W47" s="30">
        <f t="shared" si="50"/>
        <v>3022715.5878450186</v>
      </c>
      <c r="X47" s="11">
        <f t="shared" si="51"/>
        <v>-7.204067014907176E-3</v>
      </c>
      <c r="Y47" s="30">
        <f>IF(ISNUMBER(U47),U47+U46+U45+U43+U42+U41+U40+U39+U38+U37+U36+U35,"")</f>
        <v>13631737.728066418</v>
      </c>
      <c r="Z47" s="41">
        <f>IF(ISNUMBER(Y47),(Y47-Y34)/Y34,"")</f>
        <v>5.7811987279522997E-2</v>
      </c>
      <c r="AA47" s="28">
        <f t="shared" si="43"/>
        <v>72109342.214000002</v>
      </c>
      <c r="AB47" s="13">
        <f t="shared" si="58"/>
        <v>-3.2753194242591131E-3</v>
      </c>
      <c r="AC47" s="30">
        <f t="shared" si="59"/>
        <v>212664789.28184503</v>
      </c>
      <c r="AD47" s="11">
        <f t="shared" si="52"/>
        <v>2.4365510626286072E-2</v>
      </c>
      <c r="AE47" s="30">
        <f>IF(ISNUMBER(AA47),AA47+AA46+AA45+AA43+AA42+AA41+AA40+AA39+AA38+AA37+AA36+AA35,"")</f>
        <v>920826850.42206645</v>
      </c>
      <c r="AF47" s="41">
        <f t="shared" si="60"/>
        <v>9.022284342790194E-3</v>
      </c>
      <c r="AH47" s="37"/>
    </row>
    <row r="48" spans="2:41" ht="14.5" x14ac:dyDescent="0.35">
      <c r="B48" s="14">
        <v>2019</v>
      </c>
      <c r="C48" s="14" t="s">
        <v>24</v>
      </c>
      <c r="D48" s="27">
        <v>15531570.548999999</v>
      </c>
      <c r="E48" s="27">
        <v>7567958.0929999985</v>
      </c>
      <c r="F48" s="28">
        <f t="shared" si="44"/>
        <v>23099528.641999997</v>
      </c>
      <c r="G48" s="13">
        <f t="shared" si="53"/>
        <v>-4.1167637493866684E-2</v>
      </c>
      <c r="H48" s="30">
        <f t="shared" si="61"/>
        <v>88370198.034999996</v>
      </c>
      <c r="I48" s="11">
        <f t="shared" si="45"/>
        <v>-3.4656559822784483E-2</v>
      </c>
      <c r="J48" s="30">
        <f>IF(ISNUMBER(F48),F48+F47+F46+F45+F43+F42+F41+F40+F39+F38+F37+F36,"")</f>
        <v>300096747.03499997</v>
      </c>
      <c r="K48" s="11">
        <f t="shared" si="54"/>
        <v>-4.1778595931267148E-2</v>
      </c>
      <c r="L48" s="27">
        <v>46753758.035000004</v>
      </c>
      <c r="M48" s="27">
        <v>1212793.7689999994</v>
      </c>
      <c r="N48" s="28">
        <f t="shared" si="62"/>
        <v>47966551.804000005</v>
      </c>
      <c r="O48" s="13">
        <f t="shared" si="46"/>
        <v>4.1093207872836705E-2</v>
      </c>
      <c r="P48" s="30">
        <f t="shared" si="55"/>
        <v>192337956.10500002</v>
      </c>
      <c r="Q48" s="11">
        <f t="shared" si="47"/>
        <v>4.9974153542146078E-2</v>
      </c>
      <c r="R48" s="30">
        <f>IF(ISNUMBER(N48),N48+N47+N46+N45+N43+N42+N41+N40+N39+N38+N37+N36,"")</f>
        <v>607999881.10500002</v>
      </c>
      <c r="S48" s="41">
        <f t="shared" si="56"/>
        <v>4.0496131535167047E-2</v>
      </c>
      <c r="T48" s="27"/>
      <c r="U48" s="32">
        <v>1094128.24</v>
      </c>
      <c r="V48" s="13">
        <f t="shared" si="49"/>
        <v>3.804689466848242E-2</v>
      </c>
      <c r="W48" s="30">
        <f t="shared" si="50"/>
        <v>4116843.8278450184</v>
      </c>
      <c r="X48" s="11">
        <f t="shared" si="51"/>
        <v>4.4327861724741202E-3</v>
      </c>
      <c r="Y48" s="30">
        <f>IF(ISNUMBER(U48),U48+U47+U46+U45+U43+U42+U41+U40+U39+U38+U37+U36,"")</f>
        <v>13671840.137808114</v>
      </c>
      <c r="Z48" s="41">
        <f t="shared" ref="Z48:Z56" si="63">IF(ISNUMBER(Y48),(Y48-Y35)/Y35,"")</f>
        <v>5.504485022767916E-2</v>
      </c>
      <c r="AA48" s="28">
        <f t="shared" si="43"/>
        <v>72160208.686000004</v>
      </c>
      <c r="AB48" s="13">
        <f t="shared" si="58"/>
        <v>1.3221517651001229E-2</v>
      </c>
      <c r="AC48" s="30">
        <f t="shared" si="59"/>
        <v>284824997.96784502</v>
      </c>
      <c r="AD48" s="11">
        <f t="shared" si="52"/>
        <v>2.1519067044509923E-2</v>
      </c>
      <c r="AE48" s="30">
        <f>IF(ISNUMBER(AA48),AA48+AA47+AA46+AA45+AA43+AA42+AA41+AA40+AA39+AA38+AA37+AA36,"")</f>
        <v>921768468.27780819</v>
      </c>
      <c r="AF48" s="41">
        <f t="shared" si="60"/>
        <v>1.2402749224584021E-2</v>
      </c>
      <c r="AH48" s="37"/>
    </row>
    <row r="49" spans="2:36" ht="14.5" x14ac:dyDescent="0.35">
      <c r="B49" s="14">
        <v>2019</v>
      </c>
      <c r="C49" s="14" t="s">
        <v>25</v>
      </c>
      <c r="D49" s="27">
        <v>15851024.726</v>
      </c>
      <c r="E49" s="27">
        <v>10517444.698999999</v>
      </c>
      <c r="F49" s="28">
        <f t="shared" si="44"/>
        <v>26368469.424999997</v>
      </c>
      <c r="G49" s="13">
        <f t="shared" si="53"/>
        <v>-8.1477999006461799E-2</v>
      </c>
      <c r="H49" s="30">
        <f t="shared" si="61"/>
        <v>114738667.45999999</v>
      </c>
      <c r="I49" s="11">
        <f t="shared" si="45"/>
        <v>-4.5834302686795211E-2</v>
      </c>
      <c r="J49" s="30">
        <f>IF(ISNUMBER(F49),F49+F48+F47+F46+F45+F43+F42+F41+F40+F39+F38+F37,"")</f>
        <v>297757717.45999998</v>
      </c>
      <c r="K49" s="11">
        <f t="shared" si="54"/>
        <v>-4.9616355095173474E-2</v>
      </c>
      <c r="L49" s="27">
        <v>51377385.978999995</v>
      </c>
      <c r="M49" s="27">
        <v>1010425.5609999999</v>
      </c>
      <c r="N49" s="28">
        <f t="shared" si="62"/>
        <v>52387811.539999992</v>
      </c>
      <c r="O49" s="13">
        <f t="shared" si="46"/>
        <v>-1.2367553597275951E-2</v>
      </c>
      <c r="P49" s="30">
        <f t="shared" si="55"/>
        <v>244725767.64500001</v>
      </c>
      <c r="Q49" s="11">
        <f t="shared" si="47"/>
        <v>3.5975591653445729E-2</v>
      </c>
      <c r="R49" s="30">
        <f>IF(ISNUMBER(N49),N49+N48+N47+N46+N45+N43+N42+N41+N40+N39+N38+N37,"")</f>
        <v>607343858.64499998</v>
      </c>
      <c r="S49" s="41">
        <f t="shared" si="56"/>
        <v>3.9557452628023952E-2</v>
      </c>
      <c r="T49" s="27"/>
      <c r="U49" s="32">
        <v>1287494.6499999999</v>
      </c>
      <c r="V49" s="13">
        <f t="shared" si="49"/>
        <v>-1.7470255691818145E-2</v>
      </c>
      <c r="W49" s="30">
        <f t="shared" si="50"/>
        <v>5404338.4778450187</v>
      </c>
      <c r="X49" s="11">
        <f t="shared" si="51"/>
        <v>-8.7339582059888399E-4</v>
      </c>
      <c r="Y49" s="30">
        <f>IF(ISNUMBER(U49),U49+U48+U47+U46+U45+U43+U42+U41+U40+U39+U38+U37,"")</f>
        <v>13648947.333933579</v>
      </c>
      <c r="Z49" s="41">
        <f t="shared" si="63"/>
        <v>3.4130738911291557E-2</v>
      </c>
      <c r="AA49" s="28">
        <f>F49+N49+U49</f>
        <v>80043775.614999995</v>
      </c>
      <c r="AB49" s="13">
        <f t="shared" si="58"/>
        <v>-3.6333762681335986E-2</v>
      </c>
      <c r="AC49" s="30">
        <f t="shared" si="59"/>
        <v>364868773.58284503</v>
      </c>
      <c r="AD49" s="11">
        <f t="shared" si="52"/>
        <v>8.2404468984703765E-3</v>
      </c>
      <c r="AE49" s="30">
        <f>IF(ISNUMBER(AA49),AA49+AA48+AA47+AA46+AA45+AA43+AA42+AA41+AA40+AA39+AA38+AA37,"")</f>
        <v>918750523.43893349</v>
      </c>
      <c r="AF49" s="41">
        <f t="shared" si="60"/>
        <v>8.8020307999270037E-3</v>
      </c>
      <c r="AH49" s="37"/>
    </row>
    <row r="50" spans="2:36" ht="14.5" x14ac:dyDescent="0.35">
      <c r="B50" s="14">
        <v>2019</v>
      </c>
      <c r="C50" s="14" t="s">
        <v>26</v>
      </c>
      <c r="D50" s="27">
        <v>16499208.377000002</v>
      </c>
      <c r="E50" s="27">
        <v>11693666.311000001</v>
      </c>
      <c r="F50" s="28">
        <f>IF((D50+E50)&gt;0,D50+E50,"")</f>
        <v>28192874.688000001</v>
      </c>
      <c r="G50" s="13">
        <f t="shared" si="53"/>
        <v>2.7236763592073925E-3</v>
      </c>
      <c r="H50" s="30">
        <f t="shared" si="61"/>
        <v>142931542.148</v>
      </c>
      <c r="I50" s="11">
        <f t="shared" si="45"/>
        <v>-3.6632292714444667E-2</v>
      </c>
      <c r="J50" s="30">
        <f>IF(ISNUMBER(F50),F50+F49+F48+F47+F46+F45+F43+F42+F41+F40+F39+F38,"")</f>
        <v>297834297.148</v>
      </c>
      <c r="K50" s="11">
        <f t="shared" si="54"/>
        <v>-4.4539150291617258E-2</v>
      </c>
      <c r="L50" s="27">
        <v>49043788.216000006</v>
      </c>
      <c r="M50" s="27">
        <v>1044557.7690000002</v>
      </c>
      <c r="N50" s="28">
        <f t="shared" si="62"/>
        <v>50088345.985000007</v>
      </c>
      <c r="O50" s="13">
        <f t="shared" si="46"/>
        <v>-4.2506708361405979E-2</v>
      </c>
      <c r="P50" s="30">
        <f t="shared" si="55"/>
        <v>294814113.63</v>
      </c>
      <c r="Q50" s="11">
        <f t="shared" si="47"/>
        <v>2.174681072218846E-2</v>
      </c>
      <c r="R50" s="30">
        <f>IF(ISNUMBER(N50),N50+N49+N48+N47+N46+N45+N43+N42+N41+N40+N39+N38,"")</f>
        <v>605120249.63</v>
      </c>
      <c r="S50" s="41">
        <f t="shared" si="56"/>
        <v>3.0134047739365857E-2</v>
      </c>
      <c r="T50" s="27"/>
      <c r="U50" s="32">
        <v>1266519</v>
      </c>
      <c r="V50" s="13">
        <f t="shared" si="49"/>
        <v>0.1611107130533623</v>
      </c>
      <c r="W50" s="30">
        <f t="shared" si="50"/>
        <v>6670857.4778450187</v>
      </c>
      <c r="X50" s="11">
        <f t="shared" si="51"/>
        <v>2.631023646093195E-2</v>
      </c>
      <c r="Y50" s="30">
        <f>IF(ISNUMBER(U50),U50+U49+U48+U47+U46+U45+U43+U42+U41+U40+U39+U38,"")</f>
        <v>13824684.046110701</v>
      </c>
      <c r="Z50" s="41">
        <f t="shared" si="63"/>
        <v>5.0258594863736426E-2</v>
      </c>
      <c r="AA50" s="28">
        <f>F50+N50+U50</f>
        <v>79547739.673000008</v>
      </c>
      <c r="AB50" s="13">
        <f t="shared" si="58"/>
        <v>-2.4181992345820962E-2</v>
      </c>
      <c r="AC50" s="30">
        <f t="shared" si="59"/>
        <v>444416513.25584507</v>
      </c>
      <c r="AD50" s="11">
        <f t="shared" si="52"/>
        <v>2.2796622639541923E-3</v>
      </c>
      <c r="AE50" s="30">
        <f>IF(ISNUMBER(AA50),AA50+AA49+AA48+AA47+AA46+AA45+AA43+AA42+AA41+AA40+AA39+AA38,"")</f>
        <v>916779230.82411063</v>
      </c>
      <c r="AF50" s="41">
        <f t="shared" si="60"/>
        <v>4.9098079526949641E-3</v>
      </c>
      <c r="AH50" s="37"/>
    </row>
    <row r="51" spans="2:36" ht="14.5" x14ac:dyDescent="0.35">
      <c r="B51" s="14">
        <v>2019</v>
      </c>
      <c r="C51" s="14" t="s">
        <v>27</v>
      </c>
      <c r="D51" s="27">
        <v>16614060.490000002</v>
      </c>
      <c r="E51" s="27">
        <v>11507986.271999998</v>
      </c>
      <c r="F51" s="28">
        <f t="shared" ref="F51:F56" si="64">IF((D51+E51)&gt;0,D51+E51,"")</f>
        <v>28122046.762000002</v>
      </c>
      <c r="G51" s="13">
        <f t="shared" si="53"/>
        <v>-5.578225929219572E-2</v>
      </c>
      <c r="H51" s="30">
        <f t="shared" si="61"/>
        <v>171053588.91</v>
      </c>
      <c r="I51" s="11">
        <f t="shared" si="45"/>
        <v>-3.9833818507858089E-2</v>
      </c>
      <c r="J51" s="30">
        <f>IF(ISNUMBER(F51),F51+F50+F49+F48+F47+F46+F45+F43+F42+F41+F40+F39,"")</f>
        <v>296172909.90999997</v>
      </c>
      <c r="K51" s="11">
        <f t="shared" si="54"/>
        <v>-4.6014497536684525E-2</v>
      </c>
      <c r="L51" s="27">
        <v>52464647.845999993</v>
      </c>
      <c r="M51" s="27">
        <v>1172163.713</v>
      </c>
      <c r="N51" s="28">
        <f t="shared" si="62"/>
        <v>53636811.558999993</v>
      </c>
      <c r="O51" s="13">
        <f t="shared" si="46"/>
        <v>-1.2068618895721081E-3</v>
      </c>
      <c r="P51" s="30">
        <f t="shared" si="55"/>
        <v>348450925.18900001</v>
      </c>
      <c r="Q51" s="11">
        <f t="shared" si="47"/>
        <v>1.8145109825351544E-2</v>
      </c>
      <c r="R51" s="30">
        <f>IF(ISNUMBER(N51),N51+N50+N49+N48+N47+N46+N45+N43+N42+N41+N40+N39,"")</f>
        <v>605055439.18900001</v>
      </c>
      <c r="S51" s="41">
        <f t="shared" si="56"/>
        <v>2.4993815778996311E-2</v>
      </c>
      <c r="T51" s="27"/>
      <c r="U51" s="32">
        <v>1345707</v>
      </c>
      <c r="V51" s="13">
        <f t="shared" si="49"/>
        <v>0.27086213061053821</v>
      </c>
      <c r="W51" s="30">
        <f t="shared" si="50"/>
        <v>8016564.4778450187</v>
      </c>
      <c r="X51" s="11">
        <f t="shared" si="51"/>
        <v>6.0569167765563627E-2</v>
      </c>
      <c r="Y51" s="30">
        <f>IF(ISNUMBER(U51),U51+U50+U49+U48+U47+U46+U45+U43+U42+U41+U40+U39,"")</f>
        <v>14111498.057180811</v>
      </c>
      <c r="Z51" s="41">
        <f t="shared" si="63"/>
        <v>0.10956885443881971</v>
      </c>
      <c r="AA51" s="28">
        <f t="shared" si="43"/>
        <v>83104565.320999995</v>
      </c>
      <c r="AB51" s="13">
        <f t="shared" si="58"/>
        <v>-1.7025271295505247E-2</v>
      </c>
      <c r="AC51" s="30">
        <f t="shared" si="59"/>
        <v>527521078.57684505</v>
      </c>
      <c r="AD51" s="11">
        <f t="shared" si="52"/>
        <v>-8.1176004750500017E-4</v>
      </c>
      <c r="AE51" s="30">
        <f>IF(ISNUMBER(AA51),AA51+AA50+AA49+AA48+AA47+AA46+AA45+AA43+AA42+AA41+AA40+AA39,"")</f>
        <v>915339847.15618074</v>
      </c>
      <c r="AF51" s="41">
        <f t="shared" si="60"/>
        <v>2.0381366212003076E-3</v>
      </c>
      <c r="AH51" s="37"/>
      <c r="AJ51" s="61"/>
    </row>
    <row r="52" spans="2:36" ht="14.5" x14ac:dyDescent="0.35">
      <c r="B52" s="14">
        <v>2019</v>
      </c>
      <c r="C52" s="14" t="s">
        <v>28</v>
      </c>
      <c r="D52" s="27">
        <v>16346580.088</v>
      </c>
      <c r="E52" s="27">
        <v>11494217.424000001</v>
      </c>
      <c r="F52" s="28">
        <f t="shared" si="64"/>
        <v>27840797.512000002</v>
      </c>
      <c r="G52" s="13">
        <f>IF(ISNUMBER(F52),(F52-F39)/F39,"")</f>
        <v>-2.0415948466347398E-2</v>
      </c>
      <c r="H52" s="30">
        <f>IF(ISNUMBER(F52),F52+H51,"")</f>
        <v>198894386.42199999</v>
      </c>
      <c r="I52" s="11">
        <f>IF(ISNUMBER(H52),(H52-H39)/H39,"")</f>
        <v>-3.7162214072977741E-2</v>
      </c>
      <c r="J52" s="30">
        <f>IF(ISNUMBER(F52),F52+F51+F50+F49+F48+F47+F46+F45+F43+F42+F41+F40,"")</f>
        <v>295592667.42200005</v>
      </c>
      <c r="K52" s="11">
        <f t="shared" si="54"/>
        <v>-4.2075007241910115E-2</v>
      </c>
      <c r="L52" s="27">
        <v>52753882.442999989</v>
      </c>
      <c r="M52" s="27">
        <v>1361794.6110000005</v>
      </c>
      <c r="N52" s="28">
        <f>IF((L52+M52)&gt;0,L52+M52,"")</f>
        <v>54115677.05399999</v>
      </c>
      <c r="O52" s="13">
        <f>IF(ISNUMBER(N52),(N52-N39)/N39,"")</f>
        <v>-5.2918800638305487E-2</v>
      </c>
      <c r="P52" s="30">
        <f>IF(ISNUMBER(N52),P51+N52,"")</f>
        <v>402566602.24300003</v>
      </c>
      <c r="Q52" s="11">
        <f>IF(ISNUMBER(N52),(P52-P39)/P39,"")</f>
        <v>7.9779819389363665E-3</v>
      </c>
      <c r="R52" s="30">
        <f>IF(ISNUMBER(N52),N52+N51+N50+N49+N48+N47+N46+N45+N43+N42+N41+N40,"")</f>
        <v>602031689.24300003</v>
      </c>
      <c r="S52" s="41">
        <f t="shared" si="56"/>
        <v>1.4508272063706515E-2</v>
      </c>
      <c r="T52" s="27"/>
      <c r="U52" s="32">
        <v>1355875</v>
      </c>
      <c r="V52" s="13">
        <f>IF(ISNUMBER(U52),(U52-U39)/U39,"")</f>
        <v>-0.1514283652319505</v>
      </c>
      <c r="W52" s="30">
        <f>IF(ISNUMBER(U52),W51+U52,"")</f>
        <v>9372439.4778450187</v>
      </c>
      <c r="X52" s="11">
        <f>IF(ISNUMBER(U52),(W52-W39)/W39,"")</f>
        <v>2.3575352400963968E-2</v>
      </c>
      <c r="Y52" s="30">
        <f>IF(ISNUMBER(U52),U52+U51+U50+U49+U48+U47+U46+U45+U43+U42+U41+U40,"")</f>
        <v>13869540.953859778</v>
      </c>
      <c r="Z52" s="41">
        <f t="shared" si="63"/>
        <v>5.5094966475456759E-2</v>
      </c>
      <c r="AA52" s="28">
        <f t="shared" si="43"/>
        <v>83312349.565999985</v>
      </c>
      <c r="AB52" s="13">
        <f>IF(ISNUMBER(AA52),(AA52-AA39)/AA39,"")</f>
        <v>-4.4126027892787342E-2</v>
      </c>
      <c r="AC52" s="30">
        <f t="shared" si="59"/>
        <v>610833428.14284503</v>
      </c>
      <c r="AD52" s="11">
        <f>IF(ISNUMBER(AA52),(AC52-AC39)/AC39,"")</f>
        <v>-6.949215978892205E-3</v>
      </c>
      <c r="AE52" s="30">
        <f>IF(ISNUMBER(AA52),AA52+AA51+AA50+AA49+AA48+AA47+AA46+AA45+AA43+AA42+AA41+AA40,"")</f>
        <v>911493897.61885965</v>
      </c>
      <c r="AF52" s="41">
        <f t="shared" si="60"/>
        <v>-3.9879731801003336E-3</v>
      </c>
      <c r="AH52" s="37"/>
    </row>
    <row r="53" spans="2:36" ht="14.5" x14ac:dyDescent="0.35">
      <c r="B53" s="14">
        <v>2019</v>
      </c>
      <c r="C53" s="14" t="s">
        <v>29</v>
      </c>
      <c r="D53" s="27">
        <v>14091273.569000002</v>
      </c>
      <c r="E53" s="27">
        <v>10009428.403000001</v>
      </c>
      <c r="F53" s="28">
        <f t="shared" si="64"/>
        <v>24100701.972000003</v>
      </c>
      <c r="G53" s="13">
        <f>IF(ISNUMBER(F53),(F53-F40)/F40,"")</f>
        <v>-2.9197232253446628E-2</v>
      </c>
      <c r="H53" s="30">
        <f>IF(ISNUMBER(F53),F53+H52,"")</f>
        <v>222995088.39399999</v>
      </c>
      <c r="I53" s="11">
        <f>IF(ISNUMBER(H53),(H53-H40)/H40,"")</f>
        <v>-3.6307685530781592E-2</v>
      </c>
      <c r="J53" s="30">
        <f>IF(ISNUMBER(F53),F53+F52+F51+F50+F49+F48+F47+F46+F45+F43+F42+F41,"")</f>
        <v>294867830.39400005</v>
      </c>
      <c r="K53" s="11">
        <f t="shared" si="54"/>
        <v>-3.8085054706554253E-2</v>
      </c>
      <c r="L53" s="27">
        <v>50145826.313999996</v>
      </c>
      <c r="M53" s="27">
        <v>1050620.5959999999</v>
      </c>
      <c r="N53" s="28">
        <f>IF((L53+M53)&gt;0,L53+M53,"")</f>
        <v>51196446.909999996</v>
      </c>
      <c r="O53" s="13">
        <f>IF(ISNUMBER(N53),(N53-N40)/N40,"")</f>
        <v>3.7791697426724266E-2</v>
      </c>
      <c r="P53" s="30">
        <f>IF(ISNUMBER(N53),P52+N53,"")</f>
        <v>453763049.153</v>
      </c>
      <c r="Q53" s="11">
        <f>IF(ISNUMBER(N53),(P53-P40)/P40,"")</f>
        <v>1.1255745378728681E-2</v>
      </c>
      <c r="R53" s="30">
        <f>IF(ISNUMBER(N53),N53+N52+N51+N50+N49+N48+N47+N46+N45+N43+N42+N41,"")</f>
        <v>603896033.153</v>
      </c>
      <c r="S53" s="41">
        <f t="shared" si="56"/>
        <v>2.043006871779042E-2</v>
      </c>
      <c r="T53" s="27"/>
      <c r="U53" s="32">
        <v>1285128</v>
      </c>
      <c r="V53" s="13">
        <f>IF(ISNUMBER(U53),(U53-U40)/U40,"")</f>
        <v>0.11347423647800756</v>
      </c>
      <c r="W53" s="30">
        <f>IF(ISNUMBER(U53),W52+U53,"")</f>
        <v>10657567.477845019</v>
      </c>
      <c r="X53" s="11">
        <f>IF(ISNUMBER(U53),(W53-W40)/W40,"")</f>
        <v>3.3638435827254107E-2</v>
      </c>
      <c r="Y53" s="30">
        <f>IF(ISNUMBER(U53),U53+U52+U51+U50+U49+U48+U47+U46+U45+U43+U42+U41,"")</f>
        <v>14000508.437254613</v>
      </c>
      <c r="Z53" s="41">
        <f t="shared" si="63"/>
        <v>5.4581003137500798E-2</v>
      </c>
      <c r="AA53" s="28">
        <f t="shared" si="43"/>
        <v>76582276.881999999</v>
      </c>
      <c r="AB53" s="13">
        <f>IF(ISNUMBER(AA53),(AA53-AA40)/AA40,"")</f>
        <v>1.6869525398953363E-2</v>
      </c>
      <c r="AC53" s="30">
        <f t="shared" si="59"/>
        <v>687415705.024845</v>
      </c>
      <c r="AD53" s="11">
        <f>IF(ISNUMBER(AA53),(AC53-AC40)/AC40,"")</f>
        <v>-4.3510395066680288E-3</v>
      </c>
      <c r="AE53" s="30">
        <f>IF(ISNUMBER(AA53),AA53+AA52+AA51+AA50+AA49+AA48+AA47+AA46+AA45+AA43+AA42+AA41,"")</f>
        <v>912764371.9842546</v>
      </c>
      <c r="AF53" s="41">
        <f t="shared" si="60"/>
        <v>1.2511172653266334E-3</v>
      </c>
    </row>
    <row r="54" spans="2:36" ht="14.5" x14ac:dyDescent="0.35">
      <c r="B54" s="14">
        <v>2019</v>
      </c>
      <c r="C54" s="14" t="s">
        <v>30</v>
      </c>
      <c r="D54" s="33">
        <v>13904988.601</v>
      </c>
      <c r="E54" s="33">
        <v>9268099.4810000006</v>
      </c>
      <c r="F54" s="28">
        <f t="shared" si="64"/>
        <v>23173088.082000002</v>
      </c>
      <c r="G54" s="13">
        <f>IF(ISNUMBER(F54),(F54-F41)/F41,"")</f>
        <v>-4.5476388306950929E-2</v>
      </c>
      <c r="H54" s="30">
        <f>IF(ISNUMBER(F54),F54+H53,"")</f>
        <v>246168176.47600001</v>
      </c>
      <c r="I54" s="11">
        <f>IF(ISNUMBER(H54),(H54-H41)/H41,"")</f>
        <v>-3.7178286403709099E-2</v>
      </c>
      <c r="J54" s="30">
        <f>IF(ISNUMBER(F54),F54+F53+F52+F51+F50+F49+F48+F47+F46+F45+F43+F42,"")</f>
        <v>293763794.47599995</v>
      </c>
      <c r="K54" s="11">
        <f t="shared" si="54"/>
        <v>-3.6707140546941443E-2</v>
      </c>
      <c r="L54" s="33">
        <v>50550885.736000001</v>
      </c>
      <c r="M54" s="33">
        <v>938655.61299999966</v>
      </c>
      <c r="N54" s="28">
        <f>IF((L54+M54)&gt;0,L54+M54,"")</f>
        <v>51489541.348999999</v>
      </c>
      <c r="O54" s="13">
        <f>IF(ISNUMBER(N54),(N54-N41)/N41,"")</f>
        <v>-1.0584394165474317E-2</v>
      </c>
      <c r="P54" s="30">
        <f>IF(ISNUMBER(N54),P53+N54,"")</f>
        <v>505252590.50199997</v>
      </c>
      <c r="Q54" s="11">
        <f>IF(ISNUMBER(N54),(P54-P41)/P41,"")</f>
        <v>8.9860254105052304E-3</v>
      </c>
      <c r="R54" s="30">
        <f>IF(ISNUMBER(N54),N54+N53+N52+N51+N50+N49+N48+N47+N46+N45+N43+N42,"")</f>
        <v>603345217.50199997</v>
      </c>
      <c r="S54" s="41">
        <f t="shared" si="56"/>
        <v>1.6875602793669182E-2</v>
      </c>
      <c r="T54" s="25"/>
      <c r="U54" s="32">
        <v>1280318</v>
      </c>
      <c r="V54" s="13">
        <f>IF(ISNUMBER(U54),(U54-U41)/U41,"")</f>
        <v>9.7995971512613286E-2</v>
      </c>
      <c r="W54" s="30">
        <f>IF(ISNUMBER(U54),W53+U54,"")</f>
        <v>11937885.477845019</v>
      </c>
      <c r="X54" s="11">
        <f>IF(ISNUMBER(U54),(W54-W41)/W41,"")</f>
        <v>4.0177211487014981E-2</v>
      </c>
      <c r="Y54" s="30">
        <f>IF(ISNUMBER(U54),U54+U53+U52+U51+U50+U49+U48+U47+U46+U45+U43+U42,"")</f>
        <v>14114776.621756459</v>
      </c>
      <c r="Z54" s="41">
        <f t="shared" si="63"/>
        <v>5.0192753702068625E-2</v>
      </c>
      <c r="AA54" s="28">
        <f t="shared" si="43"/>
        <v>75942947.430999994</v>
      </c>
      <c r="AB54" s="13">
        <f>IF(ISNUMBER(AA54),(AA54-AA41)/AA41,"")</f>
        <v>-1.9882720473419862E-2</v>
      </c>
      <c r="AC54" s="30">
        <f t="shared" si="59"/>
        <v>763358652.455845</v>
      </c>
      <c r="AD54" s="11">
        <f>IF(ISNUMBER(AA54),(AC54-AC41)/AC41,"")</f>
        <v>-5.9182283871179056E-3</v>
      </c>
      <c r="AE54" s="30">
        <f>IF(ISNUMBER(AA54),AA54+AA53+AA52+AA51+AA50+AA49+AA48+AA47+AA46+AA45+AA43+AA42,"")</f>
        <v>911223788.59975648</v>
      </c>
      <c r="AF54" s="41">
        <f t="shared" si="60"/>
        <v>-5.5574814323548305E-4</v>
      </c>
    </row>
    <row r="55" spans="2:36" ht="14.5" x14ac:dyDescent="0.35">
      <c r="B55" s="14">
        <v>2019</v>
      </c>
      <c r="C55" s="14" t="s">
        <v>31</v>
      </c>
      <c r="D55" s="33">
        <v>13286470.134000001</v>
      </c>
      <c r="E55" s="33">
        <v>8717047.9420000017</v>
      </c>
      <c r="F55" s="28">
        <f t="shared" si="64"/>
        <v>22003518.076000005</v>
      </c>
      <c r="G55" s="13">
        <f>IF(ISNUMBER(F55),(F55-F42)/F42,"")</f>
        <v>-6.0791796832915579E-2</v>
      </c>
      <c r="H55" s="30">
        <f>IF(ISNUMBER(F55),F55+H54,"")</f>
        <v>268171694.55200002</v>
      </c>
      <c r="I55" s="11">
        <f>IF(ISNUMBER(H55),(H55-H42)/H42,"")</f>
        <v>-3.9160400998034285E-2</v>
      </c>
      <c r="J55" s="30">
        <f>IF(ISNUMBER(F55),F55+F54+F53+F52+F51+F50+F49+F48+F47+F46+F45+F43,"")</f>
        <v>292339580.55200005</v>
      </c>
      <c r="K55" s="11">
        <f t="shared" si="54"/>
        <v>-4.083364271146276E-2</v>
      </c>
      <c r="L55" s="33">
        <v>47149262.308999993</v>
      </c>
      <c r="M55" s="33">
        <v>779470.07900000014</v>
      </c>
      <c r="N55" s="28">
        <f>IF((L55+M55)&gt;0,L55+M55,"")</f>
        <v>47928732.387999997</v>
      </c>
      <c r="O55" s="13">
        <f>IF(ISNUMBER(N55),(N55-N42)/N42,"")</f>
        <v>-5.5027811111289938E-2</v>
      </c>
      <c r="P55" s="30">
        <f>IF(ISNUMBER(N55),P54+N55,"")</f>
        <v>553181322.88999999</v>
      </c>
      <c r="Q55" s="11">
        <f>IF(ISNUMBER(N55),(P55-P42)/P42,"")</f>
        <v>3.0985801884195457E-3</v>
      </c>
      <c r="R55" s="30">
        <f>IF(ISNUMBER(N55),N55+N54+N53+N52+N51+N50+N49+N48+N47+N46+N45+N43,"")</f>
        <v>600554221.88999999</v>
      </c>
      <c r="S55" s="41">
        <f t="shared" si="56"/>
        <v>6.3077312785047345E-3</v>
      </c>
      <c r="T55" s="33"/>
      <c r="U55" s="32">
        <v>1182888.73</v>
      </c>
      <c r="V55" s="13">
        <f>IF(ISNUMBER(U55),(U55-U42)/U42,"")</f>
        <v>0.10181014026850729</v>
      </c>
      <c r="W55" s="30">
        <f>IF(ISNUMBER(U55),W54+U55,"")</f>
        <v>13120774.207845019</v>
      </c>
      <c r="X55" s="11">
        <f>IF(ISNUMBER(U55),(W55-W42)/W42,"")</f>
        <v>4.5449431236704071E-2</v>
      </c>
      <c r="Y55" s="30">
        <f>IF(ISNUMBER(U55),U55+U54+U53+U52+U51+U50+U49+U48+U47+U46+U45+U43,"")</f>
        <v>14224078.635889301</v>
      </c>
      <c r="Z55" s="41">
        <f t="shared" si="63"/>
        <v>4.9260024434393763E-2</v>
      </c>
      <c r="AA55" s="28">
        <f t="shared" si="43"/>
        <v>71115139.194000006</v>
      </c>
      <c r="AB55" s="13">
        <f>IF(ISNUMBER(AA55),(AA55-AA42)/AA42,"")</f>
        <v>-5.4584557130352374E-2</v>
      </c>
      <c r="AC55" s="30">
        <f t="shared" si="59"/>
        <v>834473791.649845</v>
      </c>
      <c r="AD55" s="11">
        <f>IF(ISNUMBER(AA55),(AC55-AC42)/AC42,"")</f>
        <v>-1.0260093607118281E-2</v>
      </c>
      <c r="AE55" s="30">
        <f>IF(ISNUMBER(AA55),AA55+AA54+AA53+AA52+AA51+AA50+AA49+AA48+AA47+AA46+AA45+AA43,"")</f>
        <v>907117881.0778892</v>
      </c>
      <c r="AF55" s="41">
        <f t="shared" si="60"/>
        <v>-8.7564615798669011E-3</v>
      </c>
    </row>
    <row r="56" spans="2:36" ht="14.5" x14ac:dyDescent="0.35">
      <c r="B56" s="14">
        <v>2019</v>
      </c>
      <c r="C56" s="14" t="s">
        <v>32</v>
      </c>
      <c r="D56" s="33">
        <v>13416930.329999998</v>
      </c>
      <c r="E56" s="33">
        <v>8568539.3859999981</v>
      </c>
      <c r="F56" s="28">
        <f t="shared" si="64"/>
        <v>21985469.715999998</v>
      </c>
      <c r="G56" s="13">
        <f>IF(ISNUMBER(F56),(F56-F43)/F43,"")</f>
        <v>-9.0302324497889552E-2</v>
      </c>
      <c r="H56" s="30">
        <f>IF(ISNUMBER(F56),F56+H55,"")</f>
        <v>290157164.26800001</v>
      </c>
      <c r="I56" s="11">
        <f>IF(ISNUMBER(H56),(H56-H43)/H43,"")</f>
        <v>-4.3235960774981673E-2</v>
      </c>
      <c r="J56" s="30">
        <f>IF(ISNUMBER(F56),F56+F55+F54+F53+F52+F51+F50+F49+F48+F47+F46+F45,"")</f>
        <v>290157164.26800001</v>
      </c>
      <c r="K56" s="11">
        <f t="shared" si="54"/>
        <v>-4.3235960774981673E-2</v>
      </c>
      <c r="L56" s="33">
        <v>42869637.231000006</v>
      </c>
      <c r="M56" s="33">
        <v>763326.6669999999</v>
      </c>
      <c r="N56" s="28">
        <f>IF((L56+M56)&gt;0,L56+M56,"")</f>
        <v>43632963.898000009</v>
      </c>
      <c r="O56" s="13">
        <f>IF(ISNUMBER(N56),(N56-N43)/N43,"")</f>
        <v>-7.8946722302132927E-2</v>
      </c>
      <c r="P56" s="30">
        <f>IF(ISNUMBER(N56),P55+N56,"")</f>
        <v>596814286.78799999</v>
      </c>
      <c r="Q56" s="11">
        <f>IF(ISNUMBER(N56),(P56-P43)/P43,"")</f>
        <v>-3.3917820464659668E-3</v>
      </c>
      <c r="R56" s="30">
        <f>IF(ISNUMBER(N56),N56+N55+N54+N53+N52+N51+N50+N49+N48+N47+N46+N45,"")</f>
        <v>596814286.78799999</v>
      </c>
      <c r="S56" s="41">
        <f t="shared" si="56"/>
        <v>-3.3917820464659668E-3</v>
      </c>
      <c r="T56" s="25"/>
      <c r="U56" s="32">
        <v>1222686</v>
      </c>
      <c r="V56" s="13">
        <f>IF(ISNUMBER(U56),(U56-U43)/U43,"")</f>
        <v>0.10820365523895861</v>
      </c>
      <c r="W56" s="30">
        <f>IF(ISNUMBER(U56),W55+U56,"")</f>
        <v>14343460.207845019</v>
      </c>
      <c r="X56" s="11">
        <f>IF(ISNUMBER(U56),(W56-W43)/W43,"")</f>
        <v>5.0520375911214443E-2</v>
      </c>
      <c r="Y56" s="30">
        <f>IF(ISNUMBER(U56),U56+U55+U54+U53+U52+U51+U50+U49+U47+U46+U45+U45,"")</f>
        <v>14369016.46969004</v>
      </c>
      <c r="Z56" s="41">
        <f t="shared" si="63"/>
        <v>5.4874690611271815E-2</v>
      </c>
      <c r="AA56" s="28">
        <f t="shared" si="43"/>
        <v>66841119.614000008</v>
      </c>
      <c r="AB56" s="13">
        <f>IF(ISNUMBER(AA56),(AA56-AA43)/AA43,"")</f>
        <v>-7.988220183821354E-2</v>
      </c>
      <c r="AC56" s="30">
        <f t="shared" si="59"/>
        <v>901314911.26384497</v>
      </c>
      <c r="AD56" s="11">
        <f>IF(ISNUMBER(AA56),(AC56-AC43)/AC43,"")</f>
        <v>-1.5782925111706061E-2</v>
      </c>
      <c r="AE56" s="30">
        <f>IF(ISNUMBER(AA56),AA56+AA55+AA54+AA53+AA52+AA51+AA50+AA49+AA48+AA47+AA46+AA45,"")</f>
        <v>901314911.26384497</v>
      </c>
      <c r="AF56" s="41">
        <f t="shared" si="60"/>
        <v>-1.5782925111706061E-2</v>
      </c>
    </row>
    <row r="57" spans="2:36" x14ac:dyDescent="0.3">
      <c r="B57" s="15">
        <v>2019</v>
      </c>
      <c r="C57" s="15" t="s">
        <v>33</v>
      </c>
      <c r="D57" s="34">
        <f>SUM(D45:D56)</f>
        <v>189893926.56700003</v>
      </c>
      <c r="E57" s="34">
        <f>SUM(E45:E56)</f>
        <v>100263237.70100001</v>
      </c>
      <c r="F57" s="34">
        <f>SUM(F45:F56)</f>
        <v>290157164.26800001</v>
      </c>
      <c r="G57" s="35"/>
      <c r="H57" s="35"/>
      <c r="I57" s="35"/>
      <c r="J57" s="35"/>
      <c r="K57" s="35"/>
      <c r="L57" s="34">
        <f>SUM(L45:L56)</f>
        <v>584855607.35500002</v>
      </c>
      <c r="M57" s="34">
        <f>SUM(M45:M56)</f>
        <v>11958679.433</v>
      </c>
      <c r="N57" s="34">
        <f>SUM(N45:N56)</f>
        <v>596814286.78799999</v>
      </c>
      <c r="O57" s="35"/>
      <c r="P57" s="35"/>
      <c r="Q57" s="35"/>
      <c r="R57" s="35"/>
      <c r="S57" s="35"/>
      <c r="T57" s="34">
        <f>SUM(T45:T56)</f>
        <v>1145176</v>
      </c>
      <c r="U57" s="34">
        <f>SUM(U45:U56)</f>
        <v>14343460.207845019</v>
      </c>
      <c r="V57" s="35"/>
      <c r="W57" s="35"/>
      <c r="X57" s="35"/>
      <c r="Y57" s="35"/>
      <c r="Z57" s="35"/>
      <c r="AA57" s="34">
        <f>F57+N57+U57</f>
        <v>901314911.26384497</v>
      </c>
      <c r="AB57" s="35"/>
      <c r="AC57" s="35"/>
      <c r="AD57" s="35"/>
      <c r="AE57" s="35"/>
      <c r="AF57" s="35"/>
    </row>
    <row r="58" spans="2:36" ht="14.5" x14ac:dyDescent="0.35">
      <c r="B58" s="14">
        <v>2020</v>
      </c>
      <c r="C58" s="14" t="s">
        <v>20</v>
      </c>
      <c r="D58" s="27">
        <v>12550852.274999997</v>
      </c>
      <c r="E58" s="27">
        <v>7687557.8589999955</v>
      </c>
      <c r="F58" s="28">
        <f>IF((D58+E58)&gt;0,D58+E58,"")</f>
        <v>20238410.133999992</v>
      </c>
      <c r="G58" s="13">
        <f>IF(ISNUMBER(F58),(F58-F45)/F45,"")</f>
        <v>-8.3893845102706907E-2</v>
      </c>
      <c r="H58" s="30">
        <f>IF(F58&gt;0,F58,"")</f>
        <v>20238410.133999992</v>
      </c>
      <c r="I58" s="11">
        <f t="shared" ref="I58:I64" si="65">IF(ISNUMBER(H58),(H58-H45)/H45,"")</f>
        <v>-8.3893845102706907E-2</v>
      </c>
      <c r="J58" s="30">
        <f>IF(ISNUMBER(F58),F58+F56+F55+F54+F53+F52+F51+F50+F49+F48+F47+F46,"")</f>
        <v>288303800.40199995</v>
      </c>
      <c r="K58" s="11">
        <f>IF(ISNUMBER(J58),(J58-J45)/J45,"")</f>
        <v>-5.0119557163733688E-2</v>
      </c>
      <c r="L58" s="27">
        <v>42740232.945000023</v>
      </c>
      <c r="M58" s="27">
        <v>730751.0290000001</v>
      </c>
      <c r="N58" s="28">
        <f>IF((L58+M58)&gt;0,L58+M58,"")</f>
        <v>43470983.974000022</v>
      </c>
      <c r="O58" s="13">
        <f t="shared" ref="O58:O64" si="66">IF(ISNUMBER(N58),(N58-N45)/N45,"")</f>
        <v>-0.17200447305553601</v>
      </c>
      <c r="P58" s="30">
        <f>N58</f>
        <v>43470983.974000022</v>
      </c>
      <c r="Q58" s="11">
        <f t="shared" ref="Q58:Q64" si="67">IF(ISNUMBER(N58),(P58-P45)/P45,"")</f>
        <v>-0.17200447305553601</v>
      </c>
      <c r="R58" s="30">
        <f>IF(ISNUMBER(N58),N58+N56+N55+N54+N53+N52+N51+N50+N49+N48+N47+N46,"")</f>
        <v>587783798.76200008</v>
      </c>
      <c r="S58" s="41">
        <f>IF(ISNUMBER(R58),(R58-R45)/R45,"")</f>
        <v>-3.0077655971355307E-2</v>
      </c>
      <c r="T58" s="27"/>
      <c r="U58" s="32">
        <v>1132325.2850000001</v>
      </c>
      <c r="V58" s="13">
        <f t="shared" ref="V58:V64" si="68">IF(ISNUMBER(U58),(U58-U45)/U45,"")</f>
        <v>1.1289593750875508E-2</v>
      </c>
      <c r="W58" s="30">
        <f t="shared" ref="W58:W64" si="69">IF(ISNUMBER(U58),W57+U58,"")</f>
        <v>1132325.2850000001</v>
      </c>
      <c r="X58" s="11">
        <f t="shared" ref="X58:X64" si="70">IF(ISNUMBER(U58),(W58-W45)/W45,"")</f>
        <v>1.1289593750875508E-2</v>
      </c>
      <c r="Y58" s="30">
        <f>IF(ISNUMBER(U58),U58+U56+U55+U54+U53+U52+U51+U50+U49+U48+U47+U46,"")</f>
        <v>14356100.991000002</v>
      </c>
      <c r="Z58" s="41">
        <f>IF(ISNUMBER(Y58),(Y58-Y45)/Y45,"")</f>
        <v>4.3968986208109906E-2</v>
      </c>
      <c r="AA58" s="28">
        <f>F58+N58+U58</f>
        <v>64841719.393000007</v>
      </c>
      <c r="AB58" s="13">
        <f>IF(ISNUMBER(AA58),(AA58-AA45)/AA45,"")</f>
        <v>-0.14358460353849459</v>
      </c>
      <c r="AC58" s="30">
        <f>IF(ISNUMBER(AA58),AA58,"")</f>
        <v>64841719.393000007</v>
      </c>
      <c r="AD58" s="11">
        <f t="shared" ref="AD58:AD64" si="71">IF(ISNUMBER(AA58),(AC58-AC45)/AC45,"")</f>
        <v>-0.14358460353849459</v>
      </c>
      <c r="AE58" s="30">
        <f>IF(ISNUMBER(AA58),AA58+AA56+AA55+AA54+AA53+AA52+AA51+AA50+AA49+AA48+AA47+AA46,"")</f>
        <v>890443700.15499997</v>
      </c>
      <c r="AF58" s="41">
        <f>IF(ISNUMBER(AE58),(AE58-AE45)/AE45,"")</f>
        <v>-3.5563308924182177E-2</v>
      </c>
      <c r="AH58" s="37"/>
    </row>
    <row r="59" spans="2:36" ht="14.5" x14ac:dyDescent="0.35">
      <c r="B59" s="14">
        <v>2020</v>
      </c>
      <c r="C59" s="14" t="s">
        <v>22</v>
      </c>
      <c r="D59" s="27">
        <v>12214148.411</v>
      </c>
      <c r="E59" s="27">
        <v>8149565.2099999953</v>
      </c>
      <c r="F59" s="28">
        <f t="shared" ref="F59:F62" si="72">IF((D59+E59)&gt;0,D59+E59,"")</f>
        <v>20363713.620999996</v>
      </c>
      <c r="G59" s="13">
        <f t="shared" ref="G59:G64" si="73">IF(ISNUMBER(F59),(F59-F46)/F46,"")</f>
        <v>3.2402359833911765E-2</v>
      </c>
      <c r="H59" s="30">
        <f>IF(ISNUMBER(F59),F59+H58,"")</f>
        <v>40602123.754999988</v>
      </c>
      <c r="I59" s="11">
        <f t="shared" si="65"/>
        <v>-2.9037450073947601E-2</v>
      </c>
      <c r="J59" s="30">
        <f>IF(ISNUMBER(F59),F59+F58+F56+F55+F54+F53+F52+F51+F50+F49+F48+F47,"")</f>
        <v>288942923.67599994</v>
      </c>
      <c r="K59" s="11">
        <f t="shared" ref="K59:K69" si="74">IF(ISNUMBER(J59),(J59-J46)/J46,"")</f>
        <v>-4.1338908846341622E-2</v>
      </c>
      <c r="L59" s="27">
        <v>44329843.556999967</v>
      </c>
      <c r="M59" s="27">
        <v>713801.15200000012</v>
      </c>
      <c r="N59" s="28">
        <f>IF((L59+M59)&gt;0,L59+M59,"")</f>
        <v>45043644.708999969</v>
      </c>
      <c r="O59" s="13">
        <f t="shared" si="66"/>
        <v>1.8523230859537072E-2</v>
      </c>
      <c r="P59" s="30">
        <f t="shared" ref="P59:P64" si="75">IF(ISNUMBER(N59),P58+N59,"")</f>
        <v>88514628.682999998</v>
      </c>
      <c r="Q59" s="11">
        <f t="shared" si="67"/>
        <v>-8.4892515211891603E-2</v>
      </c>
      <c r="R59" s="30">
        <f>IF(ISNUMBER(N59),N59+N58+N56+N55+N54+N53+N52+N51+N50+N49+N48+N47,"")</f>
        <v>588602978.73199999</v>
      </c>
      <c r="S59" s="41">
        <f t="shared" ref="S59:S69" si="76">IF(ISNUMBER(R59),(R59-R46)/R46,"")</f>
        <v>-2.8649730554356524E-2</v>
      </c>
      <c r="T59" s="27"/>
      <c r="U59" s="32">
        <v>1117551.8599999999</v>
      </c>
      <c r="V59" s="13">
        <f t="shared" si="68"/>
        <v>0.250811461955808</v>
      </c>
      <c r="W59" s="30">
        <f t="shared" si="69"/>
        <v>2249877.145</v>
      </c>
      <c r="X59" s="11">
        <f t="shared" si="70"/>
        <v>0.11759264618158538</v>
      </c>
      <c r="Y59" s="30">
        <f>IF(ISNUMBER(U59),U59+U58+U56+U55+U54+U53+U52+U51+U50+U49+U48+U47,"")</f>
        <v>14580191.371000001</v>
      </c>
      <c r="Z59" s="41">
        <f t="shared" ref="Z59" si="77">IF(ISNUMBER(Y59),(Y59-Y46)/Y46,"")</f>
        <v>6.443746770477396E-2</v>
      </c>
      <c r="AA59" s="28">
        <f t="shared" ref="AA59" si="78">F59+N59+U59</f>
        <v>66524910.189999968</v>
      </c>
      <c r="AB59" s="13">
        <f t="shared" ref="AB59:AB64" si="79">IF(ISNUMBER(AA59),(AA59-AA46)/AA46,"")</f>
        <v>2.5945840986716408E-2</v>
      </c>
      <c r="AC59" s="30">
        <f t="shared" ref="AC59:AC69" si="80">IF(ISNUMBER(AA59),AC58+AA59,"")</f>
        <v>131366629.58299997</v>
      </c>
      <c r="AD59" s="11">
        <f t="shared" si="71"/>
        <v>-6.5375036517863819E-2</v>
      </c>
      <c r="AE59" s="30">
        <f>IF(ISNUMBER(AA59),AA59+AA58+AA56+AA55+AA54+AA53+AA52+AA51+AA50+AA49+AA48+AA47,"")</f>
        <v>892126093.77899992</v>
      </c>
      <c r="AF59" s="41">
        <f t="shared" ref="AF59:AF69" si="81">IF(ISNUMBER(AE59),(AE59-AE46)/AE46,"")</f>
        <v>-3.1417708135115609E-2</v>
      </c>
      <c r="AH59" s="37"/>
    </row>
    <row r="60" spans="2:36" ht="14.5" x14ac:dyDescent="0.35">
      <c r="B60" s="14">
        <v>2020</v>
      </c>
      <c r="C60" s="14" t="s">
        <v>23</v>
      </c>
      <c r="D60" s="27">
        <v>11002801.182999998</v>
      </c>
      <c r="E60" s="27">
        <v>8008551.2569999993</v>
      </c>
      <c r="F60" s="28">
        <f t="shared" si="72"/>
        <v>19011352.439999998</v>
      </c>
      <c r="G60" s="13">
        <f t="shared" si="73"/>
        <v>-0.18943015353838946</v>
      </c>
      <c r="H60" s="30">
        <f t="shared" ref="H60:H64" si="82">IF(ISNUMBER(F60),F60+H59,"")</f>
        <v>59613476.194999985</v>
      </c>
      <c r="I60" s="11">
        <f t="shared" si="65"/>
        <v>-8.6672823346388581E-2</v>
      </c>
      <c r="J60" s="30">
        <f>IF(ISNUMBER(F60),F60+F59+F58+F56+F55+F54+F53+F52+F51+F50+F49+F48,"")</f>
        <v>284499971.06999999</v>
      </c>
      <c r="K60" s="11">
        <f t="shared" si="74"/>
        <v>-5.5095284953043049E-2</v>
      </c>
      <c r="L60" s="27">
        <v>44440519.01699999</v>
      </c>
      <c r="M60" s="27">
        <v>842307.01099999994</v>
      </c>
      <c r="N60" s="28">
        <f t="shared" ref="N60:N64" si="83">IF((L60+M60)&gt;0,L60+M60,"")</f>
        <v>45282826.02799999</v>
      </c>
      <c r="O60" s="13">
        <f t="shared" si="66"/>
        <v>-4.9587959881505113E-2</v>
      </c>
      <c r="P60" s="30">
        <f t="shared" si="75"/>
        <v>133797454.711</v>
      </c>
      <c r="Q60" s="11">
        <f t="shared" si="67"/>
        <v>-7.3241301774376308E-2</v>
      </c>
      <c r="R60" s="30">
        <f>IF(ISNUMBER(N60),N60+N59+N58+N56+N55+N54+N53+N52+N51+N50+N49+N48,"")</f>
        <v>586240337.19799995</v>
      </c>
      <c r="S60" s="41">
        <f t="shared" si="76"/>
        <v>-3.2776819540226348E-2</v>
      </c>
      <c r="T60" s="27"/>
      <c r="U60" s="32">
        <v>1035299.5739999997</v>
      </c>
      <c r="V60" s="13">
        <f t="shared" si="68"/>
        <v>2.5486076291404956E-2</v>
      </c>
      <c r="W60" s="30">
        <f t="shared" si="69"/>
        <v>3285176.7189999996</v>
      </c>
      <c r="X60" s="11">
        <f t="shared" si="70"/>
        <v>8.6829582052110013E-2</v>
      </c>
      <c r="Y60" s="30">
        <f>IF(ISNUMBER(U60),U60+U59+U58+U56+U55+U54+U53+U52+U51+U50+U49+U48,"")</f>
        <v>14605921.339</v>
      </c>
      <c r="Z60" s="41">
        <f>IF(ISNUMBER(Y60),(Y60-Y47)/Y47,"")</f>
        <v>7.1464374562300467E-2</v>
      </c>
      <c r="AA60" s="28">
        <f>F60+N60+U60</f>
        <v>65329478.041999988</v>
      </c>
      <c r="AB60" s="13">
        <f t="shared" si="79"/>
        <v>-9.4021994430060207E-2</v>
      </c>
      <c r="AC60" s="30">
        <f t="shared" si="80"/>
        <v>196696107.62499997</v>
      </c>
      <c r="AD60" s="11">
        <f t="shared" si="71"/>
        <v>-7.508850764985707E-2</v>
      </c>
      <c r="AE60" s="30">
        <f>IF(ISNUMBER(AA60),AA60+AA59+AA58+AA56+AA55+AA54+AA53+AA52+AA51+AA50+AA49+AA48,"")</f>
        <v>885346229.60699987</v>
      </c>
      <c r="AF60" s="41">
        <f t="shared" si="81"/>
        <v>-3.8531262200709966E-2</v>
      </c>
      <c r="AH60" s="37"/>
    </row>
    <row r="61" spans="2:36" ht="14.5" x14ac:dyDescent="0.35">
      <c r="B61" s="14">
        <v>2020</v>
      </c>
      <c r="C61" s="14" t="s">
        <v>24</v>
      </c>
      <c r="D61" s="27">
        <v>9113940.1979999989</v>
      </c>
      <c r="E61" s="27">
        <v>7253871.7800000031</v>
      </c>
      <c r="F61" s="28">
        <f t="shared" si="72"/>
        <v>16367811.978000002</v>
      </c>
      <c r="G61" s="13">
        <f t="shared" si="73"/>
        <v>-0.29142225230346308</v>
      </c>
      <c r="H61" s="30">
        <f t="shared" si="82"/>
        <v>75981288.172999993</v>
      </c>
      <c r="I61" s="11">
        <f t="shared" si="65"/>
        <v>-0.140193302012215</v>
      </c>
      <c r="J61" s="30">
        <f>IF(ISNUMBER(F61),F61+F60+F59+F58+F56+F55+F54+F53+F52+F51+F50+F49,"")</f>
        <v>277768254.40599996</v>
      </c>
      <c r="K61" s="11">
        <f t="shared" si="74"/>
        <v>-7.4404314107396369E-2</v>
      </c>
      <c r="L61" s="27">
        <v>41292933.779000007</v>
      </c>
      <c r="M61" s="27">
        <v>980859.6100000001</v>
      </c>
      <c r="N61" s="28">
        <f t="shared" si="83"/>
        <v>42273793.389000006</v>
      </c>
      <c r="O61" s="13">
        <f t="shared" si="66"/>
        <v>-0.11868183558955078</v>
      </c>
      <c r="P61" s="30">
        <f t="shared" si="75"/>
        <v>176071248.09999999</v>
      </c>
      <c r="Q61" s="11">
        <f t="shared" si="67"/>
        <v>-8.4573572135287739E-2</v>
      </c>
      <c r="R61" s="30">
        <f>IF(ISNUMBER(N61),N61+N60+N59+N58+N56+N55+N54+N53+N52+N51+N50+N49,"")</f>
        <v>580547578.78299999</v>
      </c>
      <c r="S61" s="41">
        <f t="shared" si="76"/>
        <v>-4.5151821859088628E-2</v>
      </c>
      <c r="T61" s="27"/>
      <c r="U61" s="32">
        <v>952963.25</v>
      </c>
      <c r="V61" s="13">
        <f t="shared" si="68"/>
        <v>-0.1290205159131986</v>
      </c>
      <c r="W61" s="30">
        <f t="shared" si="69"/>
        <v>4238139.9689999996</v>
      </c>
      <c r="X61" s="11">
        <f t="shared" si="70"/>
        <v>2.9463381713576993E-2</v>
      </c>
      <c r="Y61" s="30">
        <f>IF(ISNUMBER(U61),U61+U60+U59+U58+U56+U55+U54+U53+U52+U51+U50+U49,"")</f>
        <v>14464756.348999999</v>
      </c>
      <c r="Z61" s="41">
        <f t="shared" ref="Z61:Z69" si="84">IF(ISNUMBER(Y61),(Y61-Y48)/Y48,"")</f>
        <v>5.7996305047420371E-2</v>
      </c>
      <c r="AA61" s="28">
        <f t="shared" ref="AA61:AA62" si="85">F61+N61+U61</f>
        <v>59594568.617000006</v>
      </c>
      <c r="AB61" s="13">
        <f t="shared" si="79"/>
        <v>-0.17413530667127758</v>
      </c>
      <c r="AC61" s="30">
        <f t="shared" si="80"/>
        <v>256290676.24199998</v>
      </c>
      <c r="AD61" s="11">
        <f t="shared" si="71"/>
        <v>-0.10018194305075143</v>
      </c>
      <c r="AE61" s="30">
        <f>IF(ISNUMBER(AA61),AA61+AA60+AA59+AA58+AA56+AA55+AA54+AA53+AA52+AA51+AA50+AA49,"")</f>
        <v>872780589.53799999</v>
      </c>
      <c r="AF61" s="41">
        <f t="shared" si="81"/>
        <v>-5.3145535376508388E-2</v>
      </c>
      <c r="AH61" s="37"/>
    </row>
    <row r="62" spans="2:36" ht="14.5" x14ac:dyDescent="0.35">
      <c r="B62" s="14">
        <v>2020</v>
      </c>
      <c r="C62" s="14" t="s">
        <v>25</v>
      </c>
      <c r="D62" s="27">
        <v>12504440.351999991</v>
      </c>
      <c r="E62" s="27">
        <v>11277778.180999998</v>
      </c>
      <c r="F62" s="28">
        <f t="shared" si="72"/>
        <v>23782218.532999989</v>
      </c>
      <c r="G62" s="13">
        <f t="shared" si="73"/>
        <v>-9.8081191225607461E-2</v>
      </c>
      <c r="H62" s="30">
        <f t="shared" si="82"/>
        <v>99763506.705999985</v>
      </c>
      <c r="I62" s="11">
        <f t="shared" si="65"/>
        <v>-0.13051537973648356</v>
      </c>
      <c r="J62" s="30">
        <f>IF(ISNUMBER(F62),F62+F61+F60+F59+F58+F56+F55+F54+F53+F52+F51+F50,"")</f>
        <v>275182003.514</v>
      </c>
      <c r="K62" s="11">
        <f t="shared" si="74"/>
        <v>-7.5819072427678533E-2</v>
      </c>
      <c r="L62" s="27">
        <v>52344189.890000001</v>
      </c>
      <c r="M62" s="27">
        <v>1009557.1140000001</v>
      </c>
      <c r="N62" s="28">
        <f t="shared" si="83"/>
        <v>53353747.004000001</v>
      </c>
      <c r="O62" s="13">
        <f t="shared" si="66"/>
        <v>1.8438171696912406E-2</v>
      </c>
      <c r="P62" s="30">
        <f t="shared" si="75"/>
        <v>229424995.104</v>
      </c>
      <c r="Q62" s="11">
        <f t="shared" si="67"/>
        <v>-6.2522114807278317E-2</v>
      </c>
      <c r="R62" s="30">
        <f>IF(ISNUMBER(N62),N62+N61+N60+N59+N58+N56+N55+N54+N53+N52+N51+N50,"")</f>
        <v>581513514.24699998</v>
      </c>
      <c r="S62" s="41">
        <f t="shared" si="76"/>
        <v>-4.2530016613040553E-2</v>
      </c>
      <c r="T62" s="27"/>
      <c r="U62" s="32">
        <v>1228283.0510000004</v>
      </c>
      <c r="V62" s="13">
        <f t="shared" si="68"/>
        <v>-4.5989782559484396E-2</v>
      </c>
      <c r="W62" s="30">
        <f t="shared" si="69"/>
        <v>5466423.0199999996</v>
      </c>
      <c r="X62" s="11">
        <f t="shared" si="70"/>
        <v>1.1487907800278462E-2</v>
      </c>
      <c r="Y62" s="30">
        <f>IF(ISNUMBER(U62),U62+U61+U60+U59+U58+U56+U55+U54+U53+U52+U51+U50,"")</f>
        <v>14405544.75</v>
      </c>
      <c r="Z62" s="41">
        <f t="shared" si="84"/>
        <v>5.5432657006844237E-2</v>
      </c>
      <c r="AA62" s="28">
        <f t="shared" si="85"/>
        <v>78364248.587999985</v>
      </c>
      <c r="AB62" s="13">
        <f t="shared" si="79"/>
        <v>-2.0982606256335454E-2</v>
      </c>
      <c r="AC62" s="30">
        <f t="shared" si="80"/>
        <v>334654924.82999998</v>
      </c>
      <c r="AD62" s="11">
        <f t="shared" si="71"/>
        <v>-8.2807439113407336E-2</v>
      </c>
      <c r="AE62" s="30">
        <f>IF(ISNUMBER(AA62),AA62+AA61+AA60+AA59+AA58+AA56+AA55+AA54+AA53+AA52+AA51+AA50,"")</f>
        <v>871101062.51099992</v>
      </c>
      <c r="AF62" s="41">
        <f t="shared" si="81"/>
        <v>-5.1863329285058837E-2</v>
      </c>
      <c r="AH62" s="37"/>
    </row>
    <row r="63" spans="2:36" ht="14.5" x14ac:dyDescent="0.35">
      <c r="B63" s="14">
        <v>2020</v>
      </c>
      <c r="C63" s="14" t="s">
        <v>26</v>
      </c>
      <c r="D63" s="27">
        <v>14217887.044000007</v>
      </c>
      <c r="E63" s="27">
        <v>12707468.172999999</v>
      </c>
      <c r="F63" s="28">
        <f>IF((D63+E63)&gt;0,D63+E63,"")</f>
        <v>26925355.217000008</v>
      </c>
      <c r="G63" s="13">
        <f t="shared" si="73"/>
        <v>-4.4958858755169785E-2</v>
      </c>
      <c r="H63" s="30">
        <f t="shared" si="82"/>
        <v>126688861.92299999</v>
      </c>
      <c r="I63" s="11">
        <f t="shared" si="65"/>
        <v>-0.11363957864654781</v>
      </c>
      <c r="J63" s="30">
        <f>IF(ISNUMBER(F63),F63+F62+F61+F60+F59+F58+F56+F55+F54+F53+F52+F51,"")</f>
        <v>273914484.04299998</v>
      </c>
      <c r="K63" s="11">
        <f t="shared" si="74"/>
        <v>-8.0312486956845577E-2</v>
      </c>
      <c r="L63" s="27">
        <v>53213388.328000031</v>
      </c>
      <c r="M63" s="27">
        <v>795191.94</v>
      </c>
      <c r="N63" s="28">
        <f t="shared" si="83"/>
        <v>54008580.268000029</v>
      </c>
      <c r="O63" s="13">
        <f t="shared" si="66"/>
        <v>7.8266395224430407E-2</v>
      </c>
      <c r="P63" s="30">
        <f t="shared" si="75"/>
        <v>283433575.37200004</v>
      </c>
      <c r="Q63" s="11">
        <f t="shared" si="67"/>
        <v>-3.8602420073697193E-2</v>
      </c>
      <c r="R63" s="30">
        <f>IF(ISNUMBER(N63),N63+N62+N61+N60+N59+N58+N56+N55+N54+N53+N52+N51,"")</f>
        <v>585433748.53000009</v>
      </c>
      <c r="S63" s="41">
        <f t="shared" si="76"/>
        <v>-3.2533204948995163E-2</v>
      </c>
      <c r="T63" s="27"/>
      <c r="U63" s="32">
        <v>1410848.65</v>
      </c>
      <c r="V63" s="13">
        <f t="shared" si="68"/>
        <v>0.11395774560034229</v>
      </c>
      <c r="W63" s="30">
        <f t="shared" si="69"/>
        <v>6877271.6699999999</v>
      </c>
      <c r="X63" s="11">
        <f t="shared" si="70"/>
        <v>3.0942677585380236E-2</v>
      </c>
      <c r="Y63" s="30">
        <f>IF(ISNUMBER(U63),U63+U62+U61+U60+U59+U58+U56+U55+U54+U53+U52+U51,"")</f>
        <v>14549874.4</v>
      </c>
      <c r="Z63" s="41">
        <f t="shared" si="84"/>
        <v>5.2456197296842921E-2</v>
      </c>
      <c r="AA63" s="28">
        <f>F63+N63+U63</f>
        <v>82344784.13500005</v>
      </c>
      <c r="AB63" s="13">
        <f t="shared" si="79"/>
        <v>3.5161834559950561E-2</v>
      </c>
      <c r="AC63" s="30">
        <f t="shared" si="80"/>
        <v>416999708.96500003</v>
      </c>
      <c r="AD63" s="11">
        <f t="shared" si="71"/>
        <v>-6.1691686679206548E-2</v>
      </c>
      <c r="AE63" s="30">
        <f>IF(ISNUMBER(AA63),AA63+AA62+AA61+AA60+AA59+AA58+AA56+AA55+AA54+AA53+AA52+AA51,"")</f>
        <v>873898106.97299993</v>
      </c>
      <c r="AF63" s="41">
        <f t="shared" si="81"/>
        <v>-4.6773664159651632E-2</v>
      </c>
      <c r="AH63" s="37"/>
    </row>
    <row r="64" spans="2:36" ht="14.5" x14ac:dyDescent="0.35">
      <c r="B64" s="14">
        <v>2020</v>
      </c>
      <c r="C64" s="14" t="s">
        <v>27</v>
      </c>
      <c r="D64" s="27">
        <v>15397952.936999995</v>
      </c>
      <c r="E64" s="27">
        <v>13390925.618999995</v>
      </c>
      <c r="F64" s="28">
        <f t="shared" ref="F64:F69" si="86">IF((D64+E64)&gt;0,D64+E64,"")</f>
        <v>28788878.555999991</v>
      </c>
      <c r="G64" s="13">
        <f t="shared" si="73"/>
        <v>2.3712064759846961E-2</v>
      </c>
      <c r="H64" s="30">
        <f t="shared" si="82"/>
        <v>155477740.47899997</v>
      </c>
      <c r="I64" s="11">
        <f t="shared" si="65"/>
        <v>-9.1058296585611376E-2</v>
      </c>
      <c r="J64" s="30">
        <f>IF(ISNUMBER(F64),F64+F63+F62+F61+F60+F59+F58+F56+F55+F54+F53+F52,"")</f>
        <v>274581315.83700001</v>
      </c>
      <c r="K64" s="11">
        <f t="shared" si="74"/>
        <v>-7.2901988502463433E-2</v>
      </c>
      <c r="L64" s="27">
        <v>58672466.395999998</v>
      </c>
      <c r="M64" s="27">
        <v>1394980.2329999995</v>
      </c>
      <c r="N64" s="28">
        <f t="shared" si="83"/>
        <v>60067446.629000001</v>
      </c>
      <c r="O64" s="13">
        <f t="shared" si="66"/>
        <v>0.11989219498862957</v>
      </c>
      <c r="P64" s="30">
        <f t="shared" si="75"/>
        <v>343501022.00100005</v>
      </c>
      <c r="Q64" s="11">
        <f t="shared" si="67"/>
        <v>-1.4205452849106752E-2</v>
      </c>
      <c r="R64" s="30">
        <f>IF(ISNUMBER(N64),N64+N63+N62+N61+N60+N59+N58+N56+N55+N54+N53+N52,"")</f>
        <v>591864383.60000002</v>
      </c>
      <c r="S64" s="41">
        <f t="shared" si="76"/>
        <v>-2.1801399895984609E-2</v>
      </c>
      <c r="T64" s="27"/>
      <c r="U64" s="32">
        <v>1590860.003</v>
      </c>
      <c r="V64" s="13">
        <f t="shared" si="68"/>
        <v>0.18217413077289485</v>
      </c>
      <c r="W64" s="30">
        <f t="shared" si="69"/>
        <v>8468131.6730000004</v>
      </c>
      <c r="X64" s="11">
        <f t="shared" si="70"/>
        <v>5.6329266283949381E-2</v>
      </c>
      <c r="Y64" s="30">
        <f>IF(ISNUMBER(U64),U64+U63+U62+U61+U60+U59+U58+U56+U55+U54+U53+U52,"")</f>
        <v>14795027.403000001</v>
      </c>
      <c r="Z64" s="41">
        <f t="shared" si="84"/>
        <v>4.8437759269035777E-2</v>
      </c>
      <c r="AA64" s="28">
        <f t="shared" ref="AA64:AA69" si="87">F64+N64+U64</f>
        <v>90447185.187999994</v>
      </c>
      <c r="AB64" s="13">
        <f t="shared" si="79"/>
        <v>8.8353989201897257E-2</v>
      </c>
      <c r="AC64" s="30">
        <f t="shared" si="80"/>
        <v>507446894.153</v>
      </c>
      <c r="AD64" s="11">
        <f t="shared" si="71"/>
        <v>-3.8053805315233113E-2</v>
      </c>
      <c r="AE64" s="30">
        <f>IF(ISNUMBER(AA64),AA64+AA63+AA62+AA61+AA60+AA59+AA58+AA56+AA55+AA54+AA53+AA52,"")</f>
        <v>881240726.83999991</v>
      </c>
      <c r="AF64" s="41">
        <f t="shared" si="81"/>
        <v>-3.725296175198918E-2</v>
      </c>
      <c r="AH64" s="37"/>
      <c r="AJ64" s="61"/>
    </row>
    <row r="65" spans="2:36" ht="14.5" x14ac:dyDescent="0.35">
      <c r="B65" s="14">
        <v>2020</v>
      </c>
      <c r="C65" s="14" t="s">
        <v>28</v>
      </c>
      <c r="D65" s="27">
        <v>14733840.687999999</v>
      </c>
      <c r="E65" s="27">
        <v>13837673.058000008</v>
      </c>
      <c r="F65" s="28">
        <f t="shared" si="86"/>
        <v>28571513.746000007</v>
      </c>
      <c r="G65" s="13">
        <f>IF(ISNUMBER(F65),(F65-F52)/F52,"")</f>
        <v>2.6246239307083422E-2</v>
      </c>
      <c r="H65" s="30">
        <f>IF(ISNUMBER(F65),F65+H64,"")</f>
        <v>184049254.22499996</v>
      </c>
      <c r="I65" s="11">
        <f>IF(ISNUMBER(H65),(H65-H52)/H52,"")</f>
        <v>-7.4638266388789273E-2</v>
      </c>
      <c r="J65" s="30">
        <f>IF(ISNUMBER(F65),F65+F64+F63+F62+F61+F60+F59+F58+F56+F55+F54+F53,"")</f>
        <v>275312032.07099998</v>
      </c>
      <c r="K65" s="11">
        <f>IF(ISNUMBER(J65),(J65-J52)/J52,"")</f>
        <v>-6.8610075912494184E-2</v>
      </c>
      <c r="L65" s="27">
        <v>59595684.167999983</v>
      </c>
      <c r="M65" s="27">
        <v>1623912.6909999996</v>
      </c>
      <c r="N65" s="28">
        <f>IF((L65+M65)&gt;0,L65+M65,"")</f>
        <v>61219596.858999982</v>
      </c>
      <c r="O65" s="13">
        <f>IF(ISNUMBER(N65),(N65-N52)/N52,"")</f>
        <v>0.13127286198251312</v>
      </c>
      <c r="P65" s="30">
        <f>IF(ISNUMBER(N65),P64+N65,"")</f>
        <v>404720618.86000001</v>
      </c>
      <c r="Q65" s="11">
        <f>IF(ISNUMBER(N65),(P65-P52)/P52,"")</f>
        <v>5.3507086901852866E-3</v>
      </c>
      <c r="R65" s="30">
        <f>IF(ISNUMBER(N65),N65+N64+N63+N62+N61+N60+N59+N58+N56+N55+N54+N53,"")</f>
        <v>598968303.40500009</v>
      </c>
      <c r="S65" s="41">
        <f>IF(ISNUMBER(R65),(R65-R52)/R52,"")</f>
        <v>-5.0884129402754006E-3</v>
      </c>
      <c r="T65" s="27"/>
      <c r="U65" s="32">
        <v>1591740.4609999997</v>
      </c>
      <c r="V65" s="13">
        <f>IF(ISNUMBER(U65),(U65-U52)/U52,"")</f>
        <v>0.17395811634553307</v>
      </c>
      <c r="W65" s="30">
        <f>IF(ISNUMBER(U65),W64+U65,"")</f>
        <v>10059872.134</v>
      </c>
      <c r="X65" s="11">
        <f>IF(ISNUMBER(U65),(W65-W52)/W52,"")</f>
        <v>7.334618247255309E-2</v>
      </c>
      <c r="Y65" s="30">
        <f>IF(ISNUMBER(U65),U65+U64+U63+U62+U61+U60+U59+U58+U56+U55+U54+U53,"")</f>
        <v>15030892.864000002</v>
      </c>
      <c r="Z65" s="41">
        <f t="shared" si="84"/>
        <v>8.3733983266189443E-2</v>
      </c>
      <c r="AA65" s="28">
        <f t="shared" si="87"/>
        <v>91382851.065999985</v>
      </c>
      <c r="AB65" s="13">
        <f>IF(ISNUMBER(AA65),(AA65-AA52)/AA52,"")</f>
        <v>9.6870410473858429E-2</v>
      </c>
      <c r="AC65" s="30">
        <f t="shared" si="80"/>
        <v>598829745.21899998</v>
      </c>
      <c r="AD65" s="11">
        <f>IF(ISNUMBER(AA65),(AC65-AC52)/AC52,"")</f>
        <v>-1.9651319608261452E-2</v>
      </c>
      <c r="AE65" s="30">
        <f>IF(ISNUMBER(AA65),AA65+AA64+AA63+AA62+AA61+AA60+AA59+AA58+AA56+AA55+AA54+AA53,"")</f>
        <v>889311228.33999991</v>
      </c>
      <c r="AF65" s="41">
        <f t="shared" si="81"/>
        <v>-2.4336607559094593E-2</v>
      </c>
      <c r="AH65" s="37"/>
    </row>
    <row r="66" spans="2:36" ht="14.5" x14ac:dyDescent="0.35">
      <c r="B66" s="14">
        <v>2020</v>
      </c>
      <c r="C66" s="14" t="s">
        <v>29</v>
      </c>
      <c r="D66" s="27">
        <v>12799297.360999996</v>
      </c>
      <c r="E66" s="27">
        <v>11971566.662</v>
      </c>
      <c r="F66" s="28">
        <f t="shared" si="86"/>
        <v>24770864.022999994</v>
      </c>
      <c r="G66" s="13">
        <f>IF(ISNUMBER(F66),(F66-F53)/F53,"")</f>
        <v>2.7806744043330372E-2</v>
      </c>
      <c r="H66" s="30">
        <f>IF(ISNUMBER(F66),F66+H65,"")</f>
        <v>208820118.24799997</v>
      </c>
      <c r="I66" s="11">
        <f>IF(ISNUMBER(H66),(H66-H53)/H53,"")</f>
        <v>-6.3566288603428389E-2</v>
      </c>
      <c r="J66" s="30">
        <f>IF(ISNUMBER(F66),F66+F65+F64+F63+F62+F61+F60+F59+F58+F56+F55+F54,"")</f>
        <v>275982194.12199998</v>
      </c>
      <c r="K66" s="11">
        <f t="shared" si="74"/>
        <v>-6.4047801507425339E-2</v>
      </c>
      <c r="L66" s="27">
        <v>58533124.410000004</v>
      </c>
      <c r="M66" s="27">
        <v>1686125.6700000004</v>
      </c>
      <c r="N66" s="28">
        <f>IF((L66+M66)&gt;0,L66+M66,"")</f>
        <v>60219250.080000006</v>
      </c>
      <c r="O66" s="13">
        <f>IF(ISNUMBER(N66),(N66-N53)/N53,"")</f>
        <v>0.17623885473657003</v>
      </c>
      <c r="P66" s="30">
        <f>IF(ISNUMBER(N66),P65+N66,"")</f>
        <v>464939868.94</v>
      </c>
      <c r="Q66" s="11">
        <f>IF(ISNUMBER(N66),(P66-P53)/P53,"")</f>
        <v>2.4631401362148808E-2</v>
      </c>
      <c r="R66" s="30">
        <f>IF(ISNUMBER(N66),N66+N65+N64+N63+N62+N61+N60+N59+N58+N56+N55+N54,"")</f>
        <v>607991106.57500005</v>
      </c>
      <c r="S66" s="41">
        <f t="shared" si="76"/>
        <v>6.7810901168190709E-3</v>
      </c>
      <c r="T66" s="27"/>
      <c r="U66" s="32">
        <v>1411281.8489999999</v>
      </c>
      <c r="V66" s="13">
        <f>IF(ISNUMBER(U66),(U66-U53)/U53,"")</f>
        <v>9.8164423310362806E-2</v>
      </c>
      <c r="W66" s="30">
        <f>IF(ISNUMBER(U66),W65+U66,"")</f>
        <v>11471153.982999999</v>
      </c>
      <c r="X66" s="11">
        <f>IF(ISNUMBER(U66),(W66-W53)/W53,"")</f>
        <v>7.6338855639081452E-2</v>
      </c>
      <c r="Y66" s="30">
        <f>IF(ISNUMBER(U66),U66+U65+U64+U63+U62+U61+U60+U59+U58+U56+U55+U54,"")</f>
        <v>15157046.713</v>
      </c>
      <c r="Z66" s="41">
        <f t="shared" si="84"/>
        <v>8.2606876809409216E-2</v>
      </c>
      <c r="AA66" s="28">
        <f t="shared" si="87"/>
        <v>86401395.952000007</v>
      </c>
      <c r="AB66" s="13">
        <f>IF(ISNUMBER(AA66),(AA66-AA53)/AA53,"")</f>
        <v>0.12821659879778147</v>
      </c>
      <c r="AC66" s="30">
        <f t="shared" si="80"/>
        <v>685231141.171</v>
      </c>
      <c r="AD66" s="11">
        <f>IF(ISNUMBER(AA66),(AC66-AC53)/AC53,"")</f>
        <v>-3.1779370734133059E-3</v>
      </c>
      <c r="AE66" s="30">
        <f>IF(ISNUMBER(AA66),AA66+AA65+AA64+AA63+AA62+AA61+AA60+AA59+AA58+AA56+AA55+AA54,"")</f>
        <v>899130347.40999997</v>
      </c>
      <c r="AF66" s="41">
        <f t="shared" si="81"/>
        <v>-1.4937069185353591E-2</v>
      </c>
    </row>
    <row r="67" spans="2:36" ht="14.5" x14ac:dyDescent="0.35">
      <c r="B67" s="14">
        <v>2020</v>
      </c>
      <c r="C67" s="14" t="s">
        <v>30</v>
      </c>
      <c r="D67" s="33">
        <v>12487641.511</v>
      </c>
      <c r="E67" s="33">
        <v>11509110.615000002</v>
      </c>
      <c r="F67" s="28">
        <f t="shared" si="86"/>
        <v>23996752.126000002</v>
      </c>
      <c r="G67" s="13">
        <f>IF(ISNUMBER(F67),(F67-F54)/F54,"")</f>
        <v>3.554399142166087E-2</v>
      </c>
      <c r="H67" s="30">
        <f>IF(ISNUMBER(F67),F67+H66,"")</f>
        <v>232816870.37399995</v>
      </c>
      <c r="I67" s="11">
        <f>IF(ISNUMBER(H67),(H67-H54)/H54,"")</f>
        <v>-5.4236523555276583E-2</v>
      </c>
      <c r="J67" s="30">
        <f>IF(ISNUMBER(F67),F67+F66+F65+F64+F63+F62+F61+F60+F59+F58+F56+F55,"")</f>
        <v>276805858.16600001</v>
      </c>
      <c r="K67" s="11">
        <f t="shared" si="74"/>
        <v>-5.772643405647928E-2</v>
      </c>
      <c r="L67" s="33">
        <v>58115355.952999987</v>
      </c>
      <c r="M67" s="33">
        <v>1456221.3840000001</v>
      </c>
      <c r="N67" s="28">
        <f>IF((L67+M67)&gt;0,L67+M67,"")</f>
        <v>59571577.33699999</v>
      </c>
      <c r="O67" s="13">
        <f>IF(ISNUMBER(N67),(N67-N54)/N54,"")</f>
        <v>0.15696461409938264</v>
      </c>
      <c r="P67" s="30">
        <f>IF(ISNUMBER(N67),P66+N67,"")</f>
        <v>524511446.27700001</v>
      </c>
      <c r="Q67" s="11">
        <f>IF(ISNUMBER(N67),(P67-P54)/P54,"")</f>
        <v>3.8117282596938612E-2</v>
      </c>
      <c r="R67" s="30">
        <f>IF(ISNUMBER(N67),N67+N66+N65+N64+N63+N62+N61+N60+N59+N58+N56+N55,"")</f>
        <v>616073142.56300008</v>
      </c>
      <c r="S67" s="41">
        <f t="shared" si="76"/>
        <v>2.1095592857596351E-2</v>
      </c>
      <c r="T67" s="25"/>
      <c r="U67" s="32">
        <v>1417334.6880000001</v>
      </c>
      <c r="V67" s="13">
        <f>IF(ISNUMBER(U67),(U67-U54)/U54,"")</f>
        <v>0.10701770029008424</v>
      </c>
      <c r="W67" s="30">
        <f>IF(ISNUMBER(U67),W66+U67,"")</f>
        <v>12888488.671</v>
      </c>
      <c r="X67" s="11">
        <f>IF(ISNUMBER(U67),(W67-W54)/W54,"")</f>
        <v>7.9629109771505419E-2</v>
      </c>
      <c r="Y67" s="30">
        <f>IF(ISNUMBER(U67),U67+U66+U65+U64+U63+U62+U61+U60+U59+U58+U56+U55,"")</f>
        <v>15294063.401000001</v>
      </c>
      <c r="Z67" s="41">
        <f t="shared" si="84"/>
        <v>8.3549801094676482E-2</v>
      </c>
      <c r="AA67" s="28">
        <f>F67+N67+U67</f>
        <v>84985664.150999993</v>
      </c>
      <c r="AB67" s="13">
        <f>IF(ISNUMBER(AA67),(AA67-AA54)/AA54,"")</f>
        <v>0.11907250147508433</v>
      </c>
      <c r="AC67" s="30">
        <f t="shared" si="80"/>
        <v>770216805.32200003</v>
      </c>
      <c r="AD67" s="11">
        <f>IF(ISNUMBER(AA67),(AC67-AC54)/AC54,"")</f>
        <v>8.984181739594187E-3</v>
      </c>
      <c r="AE67" s="30">
        <f>IF(ISNUMBER(AA67),AA67+AA66+AA65+AA64+AA63+AA62+AA61+AA60+AA59+AA58+AA56+AA55,"")</f>
        <v>908173064.12999988</v>
      </c>
      <c r="AF67" s="41">
        <f t="shared" si="81"/>
        <v>-3.3479420839578138E-3</v>
      </c>
    </row>
    <row r="68" spans="2:36" ht="14.5" x14ac:dyDescent="0.35">
      <c r="B68" s="14">
        <v>2020</v>
      </c>
      <c r="C68" s="14" t="s">
        <v>31</v>
      </c>
      <c r="D68" s="33">
        <v>11505266.768000003</v>
      </c>
      <c r="E68" s="33">
        <v>10137986.363000004</v>
      </c>
      <c r="F68" s="28">
        <f t="shared" si="86"/>
        <v>21643253.131000005</v>
      </c>
      <c r="G68" s="13">
        <f>IF(ISNUMBER(F68),(F68-F55)/F55,"")</f>
        <v>-1.6373061060310792E-2</v>
      </c>
      <c r="H68" s="30">
        <f>IF(ISNUMBER(F68),F68+H67,"")</f>
        <v>254460123.50499997</v>
      </c>
      <c r="I68" s="11">
        <f>IF(ISNUMBER(H68),(H68-H55)/H55,"")</f>
        <v>-5.112982214586894E-2</v>
      </c>
      <c r="J68" s="30">
        <f>IF(ISNUMBER(F68),F68+F67+F66+F65+F64+F63+F62+F61+F60+F59+F58+F56,"")</f>
        <v>276445593.22100002</v>
      </c>
      <c r="K68" s="11">
        <f t="shared" si="74"/>
        <v>-5.436823608007086E-2</v>
      </c>
      <c r="L68" s="33">
        <v>55134143.37400002</v>
      </c>
      <c r="M68" s="33">
        <v>1269519.9670000002</v>
      </c>
      <c r="N68" s="28">
        <f>IF((L68+M68)&gt;0,L68+M68,"")</f>
        <v>56403663.341000021</v>
      </c>
      <c r="O68" s="13">
        <f>IF(ISNUMBER(N68),(N68-N55)/N55,"")</f>
        <v>0.17682359893002111</v>
      </c>
      <c r="P68" s="30">
        <f>IF(ISNUMBER(N68),P67+N68,"")</f>
        <v>580915109.61800003</v>
      </c>
      <c r="Q68" s="11">
        <f>IF(ISNUMBER(N68),(P68-P55)/P55,"")</f>
        <v>5.0135074306395015E-2</v>
      </c>
      <c r="R68" s="30">
        <f>IF(ISNUMBER(N68),N68+N67+N66+N65+N64+N63+N62+N61+N60+N59+N58+N56,"")</f>
        <v>624548073.51599991</v>
      </c>
      <c r="S68" s="41">
        <f t="shared" si="76"/>
        <v>3.995284813832304E-2</v>
      </c>
      <c r="T68" s="33"/>
      <c r="U68" s="32">
        <v>1318618.709</v>
      </c>
      <c r="V68" s="13">
        <f>IF(ISNUMBER(U68),(U68-U55)/U55,"")</f>
        <v>0.11474450263804614</v>
      </c>
      <c r="W68" s="30">
        <f>IF(ISNUMBER(U68),W67+U68,"")</f>
        <v>14207107.380000001</v>
      </c>
      <c r="X68" s="11">
        <f>IF(ISNUMBER(U68),(W68-W55)/W55,"")</f>
        <v>8.2794898757228369E-2</v>
      </c>
      <c r="Y68" s="30">
        <f>IF(ISNUMBER(U68),U68+U67+U66+U65+U64+U63+U62+U61+U60+U59+U58+U56,"")</f>
        <v>15429793.379999999</v>
      </c>
      <c r="Z68" s="41">
        <f t="shared" si="84"/>
        <v>8.4765753548951439E-2</v>
      </c>
      <c r="AA68" s="28">
        <f t="shared" si="87"/>
        <v>79365535.181000039</v>
      </c>
      <c r="AB68" s="13">
        <f>IF(ISNUMBER(AA68),(AA68-AA55)/AA55,"")</f>
        <v>0.11601462192871755</v>
      </c>
      <c r="AC68" s="30">
        <f t="shared" si="80"/>
        <v>849582340.50300002</v>
      </c>
      <c r="AD68" s="11">
        <f>IF(ISNUMBER(AA68),(AC68-AC55)/AC55,"")</f>
        <v>1.8105480368992514E-2</v>
      </c>
      <c r="AE68" s="30">
        <f>IF(ISNUMBER(AA68),AA68+AA67+AA66+AA65+AA64+AA63+AA62+AA61+AA60+AA59+AA58+AA56,"")</f>
        <v>916423460.11699986</v>
      </c>
      <c r="AF68" s="41">
        <f t="shared" si="81"/>
        <v>1.0258401066963029E-2</v>
      </c>
    </row>
    <row r="69" spans="2:36" ht="14.5" x14ac:dyDescent="0.35">
      <c r="B69" s="14">
        <v>2020</v>
      </c>
      <c r="C69" s="14" t="s">
        <v>32</v>
      </c>
      <c r="D69" s="33">
        <v>11226069.758000005</v>
      </c>
      <c r="E69" s="33">
        <v>9939264.053000005</v>
      </c>
      <c r="F69" s="28">
        <f t="shared" si="86"/>
        <v>21165333.811000012</v>
      </c>
      <c r="G69" s="13">
        <f>IF(ISNUMBER(F69),(F69-F56)/F56,"")</f>
        <v>-3.7303542548519204E-2</v>
      </c>
      <c r="H69" s="30">
        <f>IF(ISNUMBER(F69),F69+H68,"")</f>
        <v>275625457.31599998</v>
      </c>
      <c r="I69" s="11">
        <f>IF(ISNUMBER(H69),(H69-H56)/H56,"")</f>
        <v>-5.0082192485786749E-2</v>
      </c>
      <c r="J69" s="30">
        <f>IF(ISNUMBER(F69),F69+F68+F67+F66+F65+F64+F63+F62+F61+F60+F59+F58,"")</f>
        <v>275625457.31599998</v>
      </c>
      <c r="K69" s="11">
        <f t="shared" si="74"/>
        <v>-5.0082192485786749E-2</v>
      </c>
      <c r="L69" s="33">
        <v>52385096.073000014</v>
      </c>
      <c r="M69" s="33">
        <v>1217120.8629999999</v>
      </c>
      <c r="N69" s="28">
        <f>IF((L69+M69)&gt;0,L69+M69,"")</f>
        <v>53602216.936000012</v>
      </c>
      <c r="O69" s="13">
        <f>IF(ISNUMBER(N69),(N69-N56)/N56,"")</f>
        <v>0.22847984980587027</v>
      </c>
      <c r="P69" s="30">
        <f>IF(ISNUMBER(N69),P68+N69,"")</f>
        <v>634517326.55400002</v>
      </c>
      <c r="Q69" s="11">
        <f>IF(ISNUMBER(N69),(P69-P56)/P56,"")</f>
        <v>6.3173822411179789E-2</v>
      </c>
      <c r="R69" s="30">
        <f>IF(ISNUMBER(N69),N69+N68+N67+N66+N65+N64+N63+N62+N61+N60+N59+N58,"")</f>
        <v>634517326.55400002</v>
      </c>
      <c r="S69" s="41">
        <f t="shared" si="76"/>
        <v>6.3173822411179789E-2</v>
      </c>
      <c r="T69" s="25"/>
      <c r="U69" s="32">
        <v>1323412.4600000004</v>
      </c>
      <c r="V69" s="13">
        <f>IF(ISNUMBER(U69),(U69-U56)/U56,"")</f>
        <v>8.2381298223747082E-2</v>
      </c>
      <c r="W69" s="30">
        <f>IF(ISNUMBER(U69),W68+U69,"")</f>
        <v>15530519.840000002</v>
      </c>
      <c r="X69" s="11">
        <f>IF(ISNUMBER(U69),(W69-W56)/W56,"")</f>
        <v>8.2759642021785762E-2</v>
      </c>
      <c r="Y69" s="30">
        <f>IF(ISNUMBER(U69),U69+U68+U67+U66+U65+U64+U63+U62+U60+U59+U58+U58,"")</f>
        <v>15709881.875</v>
      </c>
      <c r="Z69" s="41">
        <f t="shared" si="84"/>
        <v>9.3316435967512296E-2</v>
      </c>
      <c r="AA69" s="28">
        <f t="shared" si="87"/>
        <v>76090963.207000017</v>
      </c>
      <c r="AB69" s="13">
        <f>IF(ISNUMBER(AA69),(AA69-AA56)/AA56,"")</f>
        <v>0.13838552744802635</v>
      </c>
      <c r="AC69" s="30">
        <f t="shared" si="80"/>
        <v>925673303.71000004</v>
      </c>
      <c r="AD69" s="11">
        <f>IF(ISNUMBER(AA69),(AC69-AC56)/AC56,"")</f>
        <v>2.7025396053859976E-2</v>
      </c>
      <c r="AE69" s="30">
        <f>IF(ISNUMBER(AA69),AA69+AA68+AA67+AA66+AA65+AA64+AA63+AA62+AA61+AA60+AA59+AA58,"")</f>
        <v>925673303.70999992</v>
      </c>
      <c r="AF69" s="41">
        <f t="shared" si="81"/>
        <v>2.7025396053859844E-2</v>
      </c>
    </row>
    <row r="70" spans="2:36" x14ac:dyDescent="0.3">
      <c r="B70" s="15">
        <v>2020</v>
      </c>
      <c r="C70" s="15" t="s">
        <v>33</v>
      </c>
      <c r="D70" s="34">
        <f>SUM(D58:D69)</f>
        <v>149754138.486</v>
      </c>
      <c r="E70" s="34">
        <f>SUM(E58:E69)</f>
        <v>125871318.83000001</v>
      </c>
      <c r="F70" s="34">
        <f>SUM(F58:F69)</f>
        <v>275625457.31599998</v>
      </c>
      <c r="G70" s="35"/>
      <c r="H70" s="35"/>
      <c r="I70" s="35"/>
      <c r="J70" s="35"/>
      <c r="K70" s="35"/>
      <c r="L70" s="34">
        <f>SUM(L58:L69)</f>
        <v>620796977.8900001</v>
      </c>
      <c r="M70" s="34">
        <f>SUM(M58:M69)</f>
        <v>13720348.663999999</v>
      </c>
      <c r="N70" s="34">
        <f>SUM(N58:N69)</f>
        <v>634517326.55400002</v>
      </c>
      <c r="O70" s="35"/>
      <c r="P70" s="35"/>
      <c r="Q70" s="35"/>
      <c r="R70" s="35"/>
      <c r="S70" s="35"/>
      <c r="T70" s="34">
        <f>SUM(T58:T69)</f>
        <v>0</v>
      </c>
      <c r="U70" s="34">
        <f>SUM(U58:U69)</f>
        <v>15530519.840000002</v>
      </c>
      <c r="V70" s="35"/>
      <c r="W70" s="35"/>
      <c r="X70" s="35"/>
      <c r="Y70" s="35"/>
      <c r="Z70" s="35"/>
      <c r="AA70" s="34">
        <f>F70+N70+U70</f>
        <v>925673303.71000004</v>
      </c>
      <c r="AB70" s="35"/>
      <c r="AC70" s="35"/>
      <c r="AD70" s="35"/>
      <c r="AE70" s="35"/>
      <c r="AF70" s="35"/>
    </row>
    <row r="71" spans="2:36" ht="14.5" x14ac:dyDescent="0.35">
      <c r="B71" s="14">
        <v>2021</v>
      </c>
      <c r="C71" s="14" t="s">
        <v>20</v>
      </c>
      <c r="D71" s="27">
        <f>IF(('MTA koond'!C27)&gt;0,'MTA koond'!C27,"")</f>
        <v>10477637.148000002</v>
      </c>
      <c r="E71" s="27">
        <f>IF(('MTA koond'!D27)&gt;0,'MTA koond'!D27,"")</f>
        <v>9093741.3579999991</v>
      </c>
      <c r="F71" s="28">
        <f>IF((D71+E71)&gt;0,D71+E71,"")</f>
        <v>19571378.506000001</v>
      </c>
      <c r="G71" s="13">
        <f>IF(ISNUMBER(F71),(F71-F58)/F58,"")</f>
        <v>-3.2958697031215692E-2</v>
      </c>
      <c r="H71" s="30">
        <f>IF(F71&gt;0,F71,"")</f>
        <v>19571378.506000001</v>
      </c>
      <c r="I71" s="11">
        <f t="shared" ref="I71:I77" si="88">IF(ISNUMBER(H71),(H71-H58)/H58,"")</f>
        <v>-3.2958697031215692E-2</v>
      </c>
      <c r="J71" s="30">
        <f>IF(ISNUMBER(F71),F71+F69+F68+F67+F66+F65+F64+F63+F62+F61+F60+F59,"")</f>
        <v>274958425.68800008</v>
      </c>
      <c r="K71" s="11">
        <f>IF(ISNUMBER(J71),(J71-J58)/J58,"")</f>
        <v>-4.6289277822184727E-2</v>
      </c>
      <c r="L71" s="27">
        <f>IF(('MTA koond'!E27)&gt;0,'MTA koond'!E27,"")</f>
        <v>52923164.804999992</v>
      </c>
      <c r="M71" s="27">
        <f>IF(('MTA koond'!F27)&gt;0,'MTA koond'!F27,"")</f>
        <v>618853.51099999994</v>
      </c>
      <c r="N71" s="28">
        <f t="shared" ref="N71:N82" si="89">IF((L71+M71)&gt;0,L71+M71,"")</f>
        <v>53542018.315999992</v>
      </c>
      <c r="O71" s="13">
        <f t="shared" ref="O71:O77" si="90">IF(ISNUMBER(N71),(N71-N58)/N58,"")</f>
        <v>0.23167256457832774</v>
      </c>
      <c r="P71" s="30">
        <f>N71</f>
        <v>53542018.315999992</v>
      </c>
      <c r="Q71" s="11">
        <f t="shared" ref="Q71:Q77" si="91">IF(ISNUMBER(N71),(P71-P58)/P58,"")</f>
        <v>0.23167256457832774</v>
      </c>
      <c r="R71" s="30">
        <f>IF(ISNUMBER(N71),N71+N69+N68+N67+N66+N65+N64+N63+N62+N61+N60+N59,"")</f>
        <v>644588360.89600003</v>
      </c>
      <c r="S71" s="41">
        <f>IF(ISNUMBER(R71),(R71-R58)/R58,"")</f>
        <v>9.6641932379971429E-2</v>
      </c>
      <c r="T71" s="27"/>
      <c r="U71" s="32">
        <f>'MTA jaemüük'!H50+'MTA jaemüük'!H51</f>
        <v>1237306.21</v>
      </c>
      <c r="V71" s="13">
        <f t="shared" ref="V71:V77" si="92">IF(ISNUMBER(U71),(U71-U58)/U58,"")</f>
        <v>9.2712691653794338E-2</v>
      </c>
      <c r="W71" s="30">
        <f t="shared" ref="W71:W77" si="93">IF(ISNUMBER(U71),W70+U71,"")</f>
        <v>1237306.21</v>
      </c>
      <c r="X71" s="11">
        <f t="shared" ref="X71:X77" si="94">IF(ISNUMBER(U71),(W71-W58)/W58,"")</f>
        <v>9.2712691653794338E-2</v>
      </c>
      <c r="Y71" s="30">
        <f>IF(ISNUMBER(U71),U71+U69+U68+U67+U66+U65+U64+U63+U62+U61+U60+U59,"")</f>
        <v>15635500.765000001</v>
      </c>
      <c r="Z71" s="41">
        <f>IF(ISNUMBER(Y71),(Y71-Y58)/Y58,"")</f>
        <v>8.9118889230583434E-2</v>
      </c>
      <c r="AA71" s="28">
        <f>F71+N71+U71</f>
        <v>74350703.03199999</v>
      </c>
      <c r="AB71" s="13">
        <f>IF(ISNUMBER(AA71),(AA71-AA58)/AA58,"")</f>
        <v>0.14664915933778472</v>
      </c>
      <c r="AC71" s="30">
        <f>IF(ISNUMBER(AA71),AA71,"")</f>
        <v>74350703.03199999</v>
      </c>
      <c r="AD71" s="11">
        <f t="shared" ref="AD71:AD77" si="95">IF(ISNUMBER(AA71),(AC71-AC58)/AC58,"")</f>
        <v>0.14664915933778472</v>
      </c>
      <c r="AE71" s="30">
        <f>IF(ISNUMBER(AA71),AA71+AA69+AA68+AA67+AA66+AA65+AA64+AA63+AA62+AA61+AA60+AA59,"")</f>
        <v>935182287.34899998</v>
      </c>
      <c r="AF71" s="41">
        <f>IF(ISNUMBER(AE71),(AE71-AE58)/AE58,"")</f>
        <v>5.0243027365135313E-2</v>
      </c>
      <c r="AG71" s="1">
        <f t="shared" ref="AG71:AG82" si="96">AA71/1000/450</f>
        <v>165.22378451555554</v>
      </c>
      <c r="AH71" s="37"/>
    </row>
    <row r="72" spans="2:36" ht="14.5" x14ac:dyDescent="0.35">
      <c r="B72" s="14">
        <v>2021</v>
      </c>
      <c r="C72" s="14" t="s">
        <v>22</v>
      </c>
      <c r="D72" s="27">
        <f>IF(('MTA koond'!C28)&gt;0,'MTA koond'!C28,"")</f>
        <v>10427686.280000001</v>
      </c>
      <c r="E72" s="27">
        <f>IF(('MTA koond'!D28)&gt;0,'MTA koond'!D28,"")</f>
        <v>8887457.6899999976</v>
      </c>
      <c r="F72" s="28">
        <f t="shared" ref="F72:F73" si="97">IF((D72+E72)&gt;0,D72+E72,"")</f>
        <v>19315143.969999999</v>
      </c>
      <c r="G72" s="13">
        <f t="shared" ref="G72:G77" si="98">IF(ISNUMBER(F72),(F72-F59)/F59,"")</f>
        <v>-5.1492064292176239E-2</v>
      </c>
      <c r="H72" s="30">
        <f>IF(ISNUMBER(F72),F72+H71,"")</f>
        <v>38886522.475999996</v>
      </c>
      <c r="I72" s="11">
        <f t="shared" si="88"/>
        <v>-4.2253978864559331E-2</v>
      </c>
      <c r="J72" s="30">
        <f>IF(ISNUMBER(F72),F72+F71+F69+F68+F67+F66+F65+F64+F63+F62+F61+F60,"")</f>
        <v>273909856.03700006</v>
      </c>
      <c r="K72" s="11">
        <f t="shared" ref="K72:K77" si="99">IF(ISNUMBER(J72),(J72-J59)/J59,"")</f>
        <v>-5.2027810363879663E-2</v>
      </c>
      <c r="L72" s="27">
        <f>IF(('MTA koond'!E28)&gt;0,'MTA koond'!E28,"")</f>
        <v>50721508.007999994</v>
      </c>
      <c r="M72" s="27">
        <f>IF(('MTA koond'!F28)&gt;0,'MTA koond'!F28,"")</f>
        <v>586144.20599999954</v>
      </c>
      <c r="N72" s="28">
        <f t="shared" si="89"/>
        <v>51307652.213999994</v>
      </c>
      <c r="O72" s="13">
        <f t="shared" si="90"/>
        <v>0.13906528979766244</v>
      </c>
      <c r="P72" s="30">
        <f t="shared" ref="P72:P77" si="100">IF(ISNUMBER(N72),P71+N72,"")</f>
        <v>104849670.52999999</v>
      </c>
      <c r="Q72" s="11">
        <f t="shared" si="91"/>
        <v>0.18454623930583436</v>
      </c>
      <c r="R72" s="30">
        <f>IF(ISNUMBER(N72),N72+N71+N69+N68+N67+N66+N65+N64+N63+N62+N61+N60,"")</f>
        <v>650852368.40100002</v>
      </c>
      <c r="S72" s="41">
        <f t="shared" ref="S72:S77" si="101">IF(ISNUMBER(R72),(R72-R59)/R59,"")</f>
        <v>0.10575785702461274</v>
      </c>
      <c r="T72" s="27"/>
      <c r="U72" s="32">
        <f>'MTA jaemüük'!H52+'MTA jaemüük'!H53</f>
        <v>1176864.76</v>
      </c>
      <c r="V72" s="13">
        <f t="shared" si="92"/>
        <v>5.3073957570076567E-2</v>
      </c>
      <c r="W72" s="30">
        <f t="shared" si="93"/>
        <v>2414170.9699999997</v>
      </c>
      <c r="X72" s="11">
        <f t="shared" si="94"/>
        <v>7.3023465021242184E-2</v>
      </c>
      <c r="Y72" s="30">
        <f>IF(ISNUMBER(U72),U72+U71+U69+U68+U67+U66+U65+U64+U63+U62+U61+U60,"")</f>
        <v>15694813.665000001</v>
      </c>
      <c r="Z72" s="41">
        <f t="shared" ref="Z72" si="102">IF(ISNUMBER(Y72),(Y72-Y59)/Y59,"")</f>
        <v>7.6447713588793043E-2</v>
      </c>
      <c r="AA72" s="28">
        <f t="shared" ref="AA72:AA82" si="103">F72+N72+U72</f>
        <v>71799660.943999991</v>
      </c>
      <c r="AB72" s="13">
        <f t="shared" ref="AB72:AB77" si="104">IF(ISNUMBER(AA72),(AA72-AA59)/AA59,"")</f>
        <v>7.9289859075870259E-2</v>
      </c>
      <c r="AC72" s="30">
        <f t="shared" ref="AC72:AC82" si="105">IF(ISNUMBER(AA72),AC71+AA72,"")</f>
        <v>146150363.97599998</v>
      </c>
      <c r="AD72" s="11">
        <f t="shared" si="95"/>
        <v>0.11253797436935351</v>
      </c>
      <c r="AE72" s="30">
        <f>IF(ISNUMBER(AA72),AA72+AA71+AA69+AA68+AA67+AA66+AA65+AA64+AA63+AA62+AA61+AA60,"")</f>
        <v>940457038.10299981</v>
      </c>
      <c r="AF72" s="41">
        <f t="shared" ref="AF72:AF82" si="106">IF(ISNUMBER(AE72),(AE72-AE59)/AE59,"")</f>
        <v>5.417501478885401E-2</v>
      </c>
      <c r="AG72" s="1">
        <f t="shared" si="96"/>
        <v>159.55480209777775</v>
      </c>
      <c r="AH72" s="37"/>
    </row>
    <row r="73" spans="2:36" ht="14.5" x14ac:dyDescent="0.35">
      <c r="B73" s="14">
        <v>2021</v>
      </c>
      <c r="C73" s="14" t="s">
        <v>23</v>
      </c>
      <c r="D73" s="27">
        <f>IF(('MTA koond'!C29)&gt;0,'MTA koond'!C29,"")</f>
        <v>10178437.305999998</v>
      </c>
      <c r="E73" s="27">
        <f>IF(('MTA koond'!D29)&gt;0,'MTA koond'!D29,"")</f>
        <v>7859913.8940000013</v>
      </c>
      <c r="F73" s="28">
        <f t="shared" si="97"/>
        <v>18038351.199999999</v>
      </c>
      <c r="G73" s="13">
        <f t="shared" si="98"/>
        <v>-5.1180011683587434E-2</v>
      </c>
      <c r="H73" s="30">
        <f t="shared" ref="H73:H77" si="107">IF(ISNUMBER(F73),F73+H72,"")</f>
        <v>56924873.675999999</v>
      </c>
      <c r="I73" s="11">
        <f t="shared" si="88"/>
        <v>-4.5100582797845463E-2</v>
      </c>
      <c r="J73" s="30">
        <f>IF(ISNUMBER(F73),F73+F72+F71+F69+F68+F67+F66+F65+F64+F63+F62+F61,"")</f>
        <v>272936854.79699999</v>
      </c>
      <c r="K73" s="11">
        <f t="shared" si="99"/>
        <v>-4.0643646568789799E-2</v>
      </c>
      <c r="L73" s="27">
        <f>IF(('MTA koond'!E29)&gt;0,'MTA koond'!E29,"")</f>
        <v>52642167.294</v>
      </c>
      <c r="M73" s="27">
        <f>IF(('MTA koond'!F29)&gt;0,'MTA koond'!F29,"")</f>
        <v>568561.66800000018</v>
      </c>
      <c r="N73" s="28">
        <f t="shared" si="89"/>
        <v>53210728.961999997</v>
      </c>
      <c r="O73" s="13">
        <f t="shared" si="90"/>
        <v>0.17507526869232723</v>
      </c>
      <c r="P73" s="30">
        <f t="shared" si="100"/>
        <v>158060399.49199998</v>
      </c>
      <c r="Q73" s="11">
        <f t="shared" si="91"/>
        <v>0.18134085460300792</v>
      </c>
      <c r="R73" s="30">
        <f>IF(ISNUMBER(N73),N73+N72+N71+N69+N68+N67+N66+N65+N64+N63+N62+N61,"")</f>
        <v>658780271.33500004</v>
      </c>
      <c r="S73" s="41">
        <f t="shared" si="101"/>
        <v>0.12373753482012627</v>
      </c>
      <c r="T73" s="27"/>
      <c r="U73" s="32">
        <f>'MTA jaemüük'!H53+'MTA jaemüük'!H54</f>
        <v>1133846.5699999998</v>
      </c>
      <c r="V73" s="13">
        <f t="shared" si="92"/>
        <v>9.5186937650570486E-2</v>
      </c>
      <c r="W73" s="30">
        <f t="shared" si="93"/>
        <v>3548017.5399999996</v>
      </c>
      <c r="X73" s="11">
        <f t="shared" si="94"/>
        <v>8.0008122388012096E-2</v>
      </c>
      <c r="Y73" s="30">
        <f>IF(ISNUMBER(U73),U73+U72+U71+U69+U68+U67+U66+U65+U64+U63+U62+U61,"")</f>
        <v>15793360.661</v>
      </c>
      <c r="Z73" s="41">
        <f>IF(ISNUMBER(Y73),(Y73-Y60)/Y60,"")</f>
        <v>8.1298488088482279E-2</v>
      </c>
      <c r="AA73" s="28">
        <f t="shared" si="103"/>
        <v>72382926.731999993</v>
      </c>
      <c r="AB73" s="13">
        <f t="shared" si="104"/>
        <v>0.1079673204409406</v>
      </c>
      <c r="AC73" s="30">
        <f t="shared" si="105"/>
        <v>218533290.70799997</v>
      </c>
      <c r="AD73" s="11">
        <f t="shared" si="95"/>
        <v>0.11101990449466581</v>
      </c>
      <c r="AE73" s="30">
        <f>IF(ISNUMBER(AA73),AA73+AA72+AA71+AA69+AA68+AA67+AA66+AA65+AA64+AA63+AA62+AA61,"")</f>
        <v>947510486.79299998</v>
      </c>
      <c r="AF73" s="41">
        <f t="shared" si="106"/>
        <v>7.0214629155414682E-2</v>
      </c>
      <c r="AG73" s="1">
        <f t="shared" si="96"/>
        <v>160.85094829333332</v>
      </c>
      <c r="AH73" s="37"/>
    </row>
    <row r="74" spans="2:36" ht="14.5" x14ac:dyDescent="0.35">
      <c r="B74" s="14">
        <v>2021</v>
      </c>
      <c r="C74" s="14" t="s">
        <v>24</v>
      </c>
      <c r="D74" s="27">
        <f>IF(('MTA koond'!C30)&gt;0,'MTA koond'!C30,"")</f>
        <v>11535715.514000002</v>
      </c>
      <c r="E74" s="27">
        <f>IF(('MTA koond'!D30)&gt;0,'MTA koond'!D30,"")</f>
        <v>9005058.4740000013</v>
      </c>
      <c r="F74" s="28">
        <f t="shared" ref="F74:F75" si="108">IF((D74+E74)&gt;0,D74+E74,"")</f>
        <v>20540773.988000005</v>
      </c>
      <c r="G74" s="13">
        <f t="shared" si="98"/>
        <v>0.2549492880055616</v>
      </c>
      <c r="H74" s="30">
        <f t="shared" si="107"/>
        <v>77465647.664000005</v>
      </c>
      <c r="I74" s="11">
        <f>IF(ISNUMBER(H74),(H74-H61)/H61,"")</f>
        <v>1.9535855823085136E-2</v>
      </c>
      <c r="J74" s="30">
        <f>IF(ISNUMBER(F74),F74+F73+F72+F71+F69+F68+F67+F66+F65+F64+F63+F62,"")</f>
        <v>277109816.80700004</v>
      </c>
      <c r="K74" s="11">
        <f t="shared" si="99"/>
        <v>-2.3704566254627219E-3</v>
      </c>
      <c r="L74" s="27">
        <f>IF(('MTA koond'!E30)&gt;0,'MTA koond'!E30,"")</f>
        <v>53316629.791999996</v>
      </c>
      <c r="M74" s="27">
        <f>IF(('MTA koond'!F30)&gt;0,'MTA koond'!F30,"")</f>
        <v>843690.44500000018</v>
      </c>
      <c r="N74" s="28">
        <f t="shared" si="89"/>
        <v>54160320.236999996</v>
      </c>
      <c r="O74" s="13">
        <f t="shared" si="90"/>
        <v>0.28117956528341653</v>
      </c>
      <c r="P74" s="30">
        <f t="shared" si="100"/>
        <v>212220719.72899997</v>
      </c>
      <c r="Q74" s="11">
        <f t="shared" si="91"/>
        <v>0.20531161117497626</v>
      </c>
      <c r="R74" s="30">
        <f>IF(ISNUMBER(N74),N74+N73+N72+N71+N69+N68+N67+N66+N65+N64+N63+N62,"")</f>
        <v>670666798.18299997</v>
      </c>
      <c r="S74" s="41">
        <f t="shared" si="101"/>
        <v>0.15523141029873314</v>
      </c>
      <c r="T74" s="27"/>
      <c r="U74" s="32">
        <f>'MTA jaemüük'!H54+'MTA jaemüük'!H55</f>
        <v>1220283.28</v>
      </c>
      <c r="V74" s="13">
        <f t="shared" si="92"/>
        <v>0.2805145214151753</v>
      </c>
      <c r="W74" s="30">
        <f t="shared" si="93"/>
        <v>4768300.8199999994</v>
      </c>
      <c r="X74" s="11">
        <f t="shared" si="94"/>
        <v>0.12509281309203496</v>
      </c>
      <c r="Y74" s="30">
        <f>IF(ISNUMBER(U74),U74+U73+U72+U71+U69+U68+U67+U66+U65+U64+U63+U62,"")</f>
        <v>16060680.691</v>
      </c>
      <c r="Z74" s="41">
        <f t="shared" ref="Z74:Z82" si="109">IF(ISNUMBER(Y74),(Y74-Y61)/Y61,"")</f>
        <v>0.11033192011632689</v>
      </c>
      <c r="AA74" s="28">
        <f t="shared" si="103"/>
        <v>75921377.504999995</v>
      </c>
      <c r="AB74" s="13">
        <f t="shared" si="104"/>
        <v>0.27396471300813457</v>
      </c>
      <c r="AC74" s="30">
        <f t="shared" si="105"/>
        <v>294454668.21299994</v>
      </c>
      <c r="AD74" s="11">
        <f t="shared" si="95"/>
        <v>0.1489090142903364</v>
      </c>
      <c r="AE74" s="30">
        <f>IF(ISNUMBER(AA74),AA74+AA73+AA72+AA71+AA69+AA68+AA67+AA66+AA65+AA64+AA63+AA62,"")</f>
        <v>963837295.68100011</v>
      </c>
      <c r="AF74" s="41">
        <f t="shared" si="106"/>
        <v>0.10432943540964898</v>
      </c>
      <c r="AG74" s="1">
        <f t="shared" si="96"/>
        <v>168.71417223333333</v>
      </c>
      <c r="AH74" s="37"/>
    </row>
    <row r="75" spans="2:36" ht="14.5" x14ac:dyDescent="0.35">
      <c r="B75" s="14">
        <v>2021</v>
      </c>
      <c r="C75" s="14" t="s">
        <v>25</v>
      </c>
      <c r="D75" s="27">
        <f>IF(('MTA koond'!C31)&gt;0,'MTA koond'!C31,"")</f>
        <v>13921024.320999997</v>
      </c>
      <c r="E75" s="27">
        <f>IF(('MTA koond'!D31)&gt;0,'MTA koond'!D31,"")</f>
        <v>11800758.398999998</v>
      </c>
      <c r="F75" s="28">
        <f t="shared" si="108"/>
        <v>25721782.719999995</v>
      </c>
      <c r="G75" s="13">
        <f t="shared" si="98"/>
        <v>8.1555225148935748E-2</v>
      </c>
      <c r="H75" s="30">
        <f t="shared" si="107"/>
        <v>103187430.384</v>
      </c>
      <c r="I75" s="11">
        <f t="shared" si="88"/>
        <v>3.4320402229747367E-2</v>
      </c>
      <c r="J75" s="30">
        <f>IF(ISNUMBER(F75),F75+F74+F73+F72+F71+F69+F68+F67+F66+F65+F64+F63,"")</f>
        <v>279049380.99400002</v>
      </c>
      <c r="K75" s="11">
        <f t="shared" si="99"/>
        <v>1.4053889537159593E-2</v>
      </c>
      <c r="L75" s="27">
        <f>IF(('MTA koond'!E31)&gt;0,'MTA koond'!E31,"")</f>
        <v>58472205.107999995</v>
      </c>
      <c r="M75" s="27">
        <f>IF(('MTA koond'!F31)&gt;0,'MTA koond'!F31,"")</f>
        <v>781226.21699999948</v>
      </c>
      <c r="N75" s="28">
        <f t="shared" si="89"/>
        <v>59253431.324999996</v>
      </c>
      <c r="O75" s="13">
        <f t="shared" si="90"/>
        <v>0.11057675706558506</v>
      </c>
      <c r="P75" s="30">
        <f t="shared" si="100"/>
        <v>271474151.05399996</v>
      </c>
      <c r="Q75" s="11">
        <f t="shared" si="91"/>
        <v>0.18328062263197945</v>
      </c>
      <c r="R75" s="30">
        <f>IF(ISNUMBER(N75),N75+N74+N73+N72+N71+N69+N68+N67+N66+N65+N64+N63,"")</f>
        <v>676566482.50399995</v>
      </c>
      <c r="S75" s="41">
        <f t="shared" si="101"/>
        <v>0.16345788348544876</v>
      </c>
      <c r="T75" s="27"/>
      <c r="U75" s="32">
        <f>'MTA jaemüük'!H55+'MTA jaemüük'!H56</f>
        <v>1247001.9300000002</v>
      </c>
      <c r="V75" s="13">
        <f t="shared" si="92"/>
        <v>1.5239874054078856E-2</v>
      </c>
      <c r="W75" s="30">
        <f t="shared" si="93"/>
        <v>6015302.75</v>
      </c>
      <c r="X75" s="11">
        <f t="shared" si="94"/>
        <v>0.10040930385222922</v>
      </c>
      <c r="Y75" s="30">
        <f>IF(ISNUMBER(U75),U75+U74+U73+U72+U71+U69+U68+U67+U66+U65+U64+U63,"")</f>
        <v>16079399.57</v>
      </c>
      <c r="Z75" s="41">
        <f t="shared" si="109"/>
        <v>0.1161951768606321</v>
      </c>
      <c r="AA75" s="28">
        <f t="shared" si="103"/>
        <v>86222215.974999994</v>
      </c>
      <c r="AB75" s="13">
        <f t="shared" si="104"/>
        <v>0.10027490250449884</v>
      </c>
      <c r="AC75" s="30">
        <f t="shared" si="105"/>
        <v>380676884.18799996</v>
      </c>
      <c r="AD75" s="11">
        <f t="shared" si="95"/>
        <v>0.13752063974967196</v>
      </c>
      <c r="AE75" s="30">
        <f>IF(ISNUMBER(AA75),AA75+AA74+AA73+AA72+AA71+AA69+AA68+AA67+AA66+AA65+AA64+AA63,"")</f>
        <v>971695263.06800008</v>
      </c>
      <c r="AF75" s="41">
        <f t="shared" si="106"/>
        <v>0.11547936845241753</v>
      </c>
      <c r="AG75" s="1">
        <f t="shared" si="96"/>
        <v>191.60492438888889</v>
      </c>
      <c r="AH75" s="37"/>
    </row>
    <row r="76" spans="2:36" ht="14.5" x14ac:dyDescent="0.35">
      <c r="B76" s="14">
        <v>2021</v>
      </c>
      <c r="C76" s="14" t="s">
        <v>26</v>
      </c>
      <c r="D76" s="27">
        <f>IF(('MTA koond'!C32)&gt;0,'MTA koond'!C32,"")</f>
        <v>15331905.545000002</v>
      </c>
      <c r="E76" s="27">
        <f>IF(('MTA koond'!D32)&gt;0,'MTA koond'!D32,"")</f>
        <v>12870353.909999996</v>
      </c>
      <c r="F76" s="28">
        <f t="shared" ref="F76:F82" si="110">IF((D76+E76)&gt;0,D76+E76,"")</f>
        <v>28202259.454999998</v>
      </c>
      <c r="G76" s="13">
        <f t="shared" si="98"/>
        <v>4.7423858578986719E-2</v>
      </c>
      <c r="H76" s="30">
        <f t="shared" si="107"/>
        <v>131389689.839</v>
      </c>
      <c r="I76" s="11">
        <f t="shared" si="88"/>
        <v>3.7105297534814993E-2</v>
      </c>
      <c r="J76" s="30">
        <f>IF(ISNUMBER(F76),F76+F75+F74+F73+F72+F71+F69+F68+F67+F66+F65+F64,"")</f>
        <v>280326285.23199999</v>
      </c>
      <c r="K76" s="11">
        <f t="shared" si="99"/>
        <v>2.3408039963280895E-2</v>
      </c>
      <c r="L76" s="27">
        <f>IF(('MTA koond'!E32)&gt;0,'MTA koond'!E32,"")</f>
        <v>58275563.24399998</v>
      </c>
      <c r="M76" s="27">
        <f>IF(('MTA koond'!F32)&gt;0,'MTA koond'!F32,"")</f>
        <v>787827.24500000023</v>
      </c>
      <c r="N76" s="28">
        <f t="shared" si="89"/>
        <v>59063390.488999978</v>
      </c>
      <c r="O76" s="13">
        <f t="shared" si="90"/>
        <v>9.3592725376543798E-2</v>
      </c>
      <c r="P76" s="30">
        <f t="shared" si="100"/>
        <v>330537541.54299992</v>
      </c>
      <c r="Q76" s="11">
        <f t="shared" si="91"/>
        <v>0.16619049493052124</v>
      </c>
      <c r="R76" s="30">
        <f>IF(ISNUMBER(N76),N76+N75+N74+N73+N72+N71+N69+N68+N67+N66+N65+N64,"")</f>
        <v>681621292.7249999</v>
      </c>
      <c r="S76" s="41">
        <f t="shared" si="101"/>
        <v>0.16430133116944959</v>
      </c>
      <c r="T76" s="27"/>
      <c r="U76" s="32">
        <f>'MTA jaemüük'!H56+'MTA jaemüük'!H57</f>
        <v>1312645.679</v>
      </c>
      <c r="V76" s="13">
        <f t="shared" si="92"/>
        <v>-6.9605602982290057E-2</v>
      </c>
      <c r="W76" s="30">
        <f t="shared" si="93"/>
        <v>7327948.4289999995</v>
      </c>
      <c r="X76" s="11">
        <f t="shared" si="94"/>
        <v>6.553132995544432E-2</v>
      </c>
      <c r="Y76" s="30">
        <f>IF(ISNUMBER(U76),U76+U75+U74+U73+U72+U71+U69+U68+U67+U66+U65+U64,"")</f>
        <v>15981196.599000001</v>
      </c>
      <c r="Z76" s="41">
        <f t="shared" si="109"/>
        <v>9.8373508914963617E-2</v>
      </c>
      <c r="AA76" s="28">
        <f t="shared" si="103"/>
        <v>88578295.622999981</v>
      </c>
      <c r="AB76" s="13">
        <f t="shared" si="104"/>
        <v>7.5700137579818153E-2</v>
      </c>
      <c r="AC76" s="30">
        <f t="shared" si="105"/>
        <v>469255179.81099993</v>
      </c>
      <c r="AD76" s="11">
        <f t="shared" si="95"/>
        <v>0.12531296718575372</v>
      </c>
      <c r="AE76" s="30">
        <f>IF(ISNUMBER(AA76),AA76+AA75+AA74+AA73+AA72+AA71+AA69+AA68+AA67+AA66+AA65+AA64,"")</f>
        <v>977928774.55599999</v>
      </c>
      <c r="AF76" s="41">
        <f t="shared" si="106"/>
        <v>0.11904210199440815</v>
      </c>
      <c r="AG76" s="1">
        <f t="shared" si="96"/>
        <v>196.84065693999997</v>
      </c>
      <c r="AH76" s="37"/>
    </row>
    <row r="77" spans="2:36" ht="14.5" x14ac:dyDescent="0.35">
      <c r="B77" s="14">
        <v>2021</v>
      </c>
      <c r="C77" s="14" t="s">
        <v>27</v>
      </c>
      <c r="D77" s="27">
        <f>IF(('MTA koond'!C33)&gt;0,'MTA koond'!C33,"")</f>
        <v>16471826.938000003</v>
      </c>
      <c r="E77" s="27">
        <f>IF(('MTA koond'!D33)&gt;0,'MTA koond'!D33,"")</f>
        <v>12848350.944999997</v>
      </c>
      <c r="F77" s="28">
        <f>IF((D77+E77)&gt;0,D77+E77,"")</f>
        <v>29320177.883000001</v>
      </c>
      <c r="G77" s="13">
        <f t="shared" si="98"/>
        <v>1.8455019912169548E-2</v>
      </c>
      <c r="H77" s="30">
        <f t="shared" si="107"/>
        <v>160709867.722</v>
      </c>
      <c r="I77" s="11">
        <f t="shared" si="88"/>
        <v>3.3651937742861154E-2</v>
      </c>
      <c r="J77" s="30">
        <f>IF(ISNUMBER(F77),F77+F76+F75+F74+F73+F72+F71+F69+F68+F67+F66+F65,"")</f>
        <v>280857584.55900007</v>
      </c>
      <c r="K77" s="11">
        <f t="shared" si="99"/>
        <v>2.2857595764913044E-2</v>
      </c>
      <c r="L77" s="27">
        <f>IF(('MTA koond'!E33)&gt;0,'MTA koond'!E33,"")</f>
        <v>64064050.788999997</v>
      </c>
      <c r="M77" s="27">
        <f>IF(('MTA koond'!F33)&gt;0,'MTA koond'!F33,"")</f>
        <v>1018048.1549999997</v>
      </c>
      <c r="N77" s="28">
        <f>IF((L77+M77)&gt;0,L77+M77,"")</f>
        <v>65082098.943999998</v>
      </c>
      <c r="O77" s="13">
        <f t="shared" si="90"/>
        <v>8.3483693688071139E-2</v>
      </c>
      <c r="P77" s="30">
        <f t="shared" si="100"/>
        <v>395619640.48699993</v>
      </c>
      <c r="Q77" s="11">
        <f t="shared" si="91"/>
        <v>0.15172769554626869</v>
      </c>
      <c r="R77" s="30">
        <f>IF(ISNUMBER(N77),N77+N76+N75+N74+N73+N72+N71+N69+N68+N67+N66+N65,"")</f>
        <v>686635945.03999996</v>
      </c>
      <c r="S77" s="41">
        <f t="shared" si="101"/>
        <v>0.16012377846349587</v>
      </c>
      <c r="T77" s="27"/>
      <c r="U77" s="32">
        <f>'MTA jaemüük'!H57+'MTA jaemüük'!H58</f>
        <v>1405609.6850000001</v>
      </c>
      <c r="V77" s="13">
        <f t="shared" si="92"/>
        <v>-0.11644665001990119</v>
      </c>
      <c r="W77" s="30">
        <f t="shared" si="93"/>
        <v>8733558.1140000001</v>
      </c>
      <c r="X77" s="11">
        <f t="shared" si="94"/>
        <v>3.1344156096000705E-2</v>
      </c>
      <c r="Y77" s="30">
        <f>IF(ISNUMBER(U77),U77+U76+U75+U74+U73+U72+U71+U69+U68+U67+U66+U65,"")</f>
        <v>15795946.280999999</v>
      </c>
      <c r="Z77" s="41">
        <f t="shared" si="109"/>
        <v>6.7652384192072632E-2</v>
      </c>
      <c r="AA77" s="28">
        <f>F77+N77+U77</f>
        <v>95807886.511999995</v>
      </c>
      <c r="AB77" s="13">
        <f t="shared" si="104"/>
        <v>5.9268857431632127E-2</v>
      </c>
      <c r="AC77" s="30">
        <f t="shared" si="105"/>
        <v>565063066.32299995</v>
      </c>
      <c r="AD77" s="11">
        <f t="shared" si="95"/>
        <v>0.11354128448489063</v>
      </c>
      <c r="AE77" s="30">
        <f>IF(ISNUMBER(AA77),AA77+AA76+AA75+AA74+AA73+AA72+AA71+AA69+AA68+AA67+AA66+AA65,"")</f>
        <v>983289475.88</v>
      </c>
      <c r="AF77" s="41">
        <f t="shared" si="106"/>
        <v>0.11580121745613363</v>
      </c>
      <c r="AG77" s="1">
        <f t="shared" si="96"/>
        <v>212.90641447111111</v>
      </c>
      <c r="AH77" s="37"/>
      <c r="AJ77" s="61"/>
    </row>
    <row r="78" spans="2:36" ht="14.5" x14ac:dyDescent="0.35">
      <c r="B78" s="14">
        <v>2021</v>
      </c>
      <c r="C78" s="14" t="s">
        <v>28</v>
      </c>
      <c r="D78" s="27">
        <f>IF(('MTA koond'!C34)&gt;0,'MTA koond'!C34,"")</f>
        <v>14968826.715</v>
      </c>
      <c r="E78" s="27">
        <f>IF(('MTA koond'!D34)&gt;0,'MTA koond'!D34,"")</f>
        <v>11571787.682</v>
      </c>
      <c r="F78" s="28">
        <f t="shared" si="110"/>
        <v>26540614.397</v>
      </c>
      <c r="G78" s="13">
        <f>IF(ISNUMBER(F78),(F78-F65)/F65,"")</f>
        <v>-7.1081265313929387E-2</v>
      </c>
      <c r="H78" s="30">
        <f>IF(ISNUMBER(F78),F78+H77,"")</f>
        <v>187250482.11900002</v>
      </c>
      <c r="I78" s="11">
        <f>IF(ISNUMBER(H78),(H78-H65)/H65,"")</f>
        <v>1.7393321735966159E-2</v>
      </c>
      <c r="J78" s="30">
        <f>IF(ISNUMBER(F78),F78+F77+F76+F75+F74+F73+F72+F71+F69+F68+F67+F66,"")</f>
        <v>278826685.21000004</v>
      </c>
      <c r="K78" s="11">
        <f>IF(ISNUMBER(J78),(J78-J65)/J65,"")</f>
        <v>1.2766071691678435E-2</v>
      </c>
      <c r="L78" s="27">
        <f>IF(('MTA koond'!E34)&gt;0,'MTA koond'!E34,"")</f>
        <v>62863471.406000018</v>
      </c>
      <c r="M78" s="27">
        <f>IF(('MTA koond'!F34)&gt;0,'MTA koond'!F34,"")</f>
        <v>942671.38100000005</v>
      </c>
      <c r="N78" s="28">
        <f t="shared" si="89"/>
        <v>63806142.787000015</v>
      </c>
      <c r="O78" s="13">
        <f>IF(ISNUMBER(N78),(N78-N65)/N65,"")</f>
        <v>4.2250293381665437E-2</v>
      </c>
      <c r="P78" s="30">
        <f>IF(ISNUMBER(N78),P77+N78,"")</f>
        <v>459425783.27399993</v>
      </c>
      <c r="Q78" s="11">
        <f>IF(ISNUMBER(N78),(P78-P65)/P65,"")</f>
        <v>0.13516772278143652</v>
      </c>
      <c r="R78" s="30">
        <f>IF(ISNUMBER(N78),N78+N77+N76+N75+N74+N73+N72+N71+N69+N68+N67+N66,"")</f>
        <v>689222490.96799994</v>
      </c>
      <c r="S78" s="41">
        <f>IF(ISNUMBER(R78),(R78-R65)/R65,"")</f>
        <v>0.15068274406162244</v>
      </c>
      <c r="T78" s="27"/>
      <c r="U78" s="32">
        <f>'MTA jaemüük'!H58+'MTA jaemüük'!H59</f>
        <v>1521113.8969999999</v>
      </c>
      <c r="V78" s="13">
        <f>IF(ISNUMBER(U78),(U78-U65)/U65,"")</f>
        <v>-4.4370653212917097E-2</v>
      </c>
      <c r="W78" s="30">
        <f>IF(ISNUMBER(U78),W77+U78,"")</f>
        <v>10254672.011</v>
      </c>
      <c r="X78" s="11">
        <f>IF(ISNUMBER(U78),(W78-W65)/W65,"")</f>
        <v>1.9364050994408029E-2</v>
      </c>
      <c r="Y78" s="30">
        <f>IF(ISNUMBER(U78),U78+U77+U76+U75+U74+U73+U72+U71+U69+U68+U67+U66,"")</f>
        <v>15725319.717</v>
      </c>
      <c r="Z78" s="41">
        <f t="shared" si="109"/>
        <v>4.6199973566653327E-2</v>
      </c>
      <c r="AA78" s="28">
        <f t="shared" si="103"/>
        <v>91867871.081000015</v>
      </c>
      <c r="AB78" s="13">
        <f>IF(ISNUMBER(AA78),(AA78-AA65)/AA65,"")</f>
        <v>5.3075605471067161E-3</v>
      </c>
      <c r="AC78" s="30">
        <f t="shared" si="105"/>
        <v>656930937.40399992</v>
      </c>
      <c r="AD78" s="11">
        <f>IF(ISNUMBER(AA78),(AC78-AC65)/AC65,"")</f>
        <v>9.7024559399185431E-2</v>
      </c>
      <c r="AE78" s="30">
        <f>IF(ISNUMBER(AA78),AA78+AA77+AA76+AA75+AA74+AA73+AA72+AA71+AA69+AA68+AA67+AA66,"")</f>
        <v>983774495.89499998</v>
      </c>
      <c r="AF78" s="41">
        <f t="shared" si="106"/>
        <v>0.10622070715482414</v>
      </c>
      <c r="AG78" s="1">
        <f t="shared" si="96"/>
        <v>204.15082462444448</v>
      </c>
      <c r="AH78" s="37"/>
    </row>
    <row r="79" spans="2:36" ht="14.5" x14ac:dyDescent="0.35">
      <c r="B79" s="14">
        <v>2021</v>
      </c>
      <c r="C79" s="14" t="s">
        <v>29</v>
      </c>
      <c r="D79" s="27">
        <f>IF(('MTA koond'!C35)&gt;0,'MTA koond'!C35,"")</f>
        <v>13608950.012000002</v>
      </c>
      <c r="E79" s="27">
        <f>IF(('MTA koond'!D35)&gt;0,'MTA koond'!D35,"")</f>
        <v>10683724.780999999</v>
      </c>
      <c r="F79" s="28">
        <f t="shared" si="110"/>
        <v>24292674.793000001</v>
      </c>
      <c r="G79" s="13">
        <f>IF(ISNUMBER(F79),(F79-F66)/F66,"")</f>
        <v>-1.9304503450343496E-2</v>
      </c>
      <c r="H79" s="30">
        <f>IF(ISNUMBER(F79),F79+H78,"")</f>
        <v>211543156.91200003</v>
      </c>
      <c r="I79" s="11">
        <f>IF(ISNUMBER(H79),(H79-H66)/H66,"")</f>
        <v>1.3040116473672885E-2</v>
      </c>
      <c r="J79" s="30">
        <f>IF(ISNUMBER(F79),F79+F78+F77+F76+F75+F74+F73+F72+F71+F69+F68+F67,"")</f>
        <v>278348495.98000002</v>
      </c>
      <c r="K79" s="11">
        <f t="shared" ref="K79:K82" si="111">IF(ISNUMBER(J79),(J79-J66)/J66,"")</f>
        <v>8.5741106071285118E-3</v>
      </c>
      <c r="L79" s="27">
        <f>IF(('MTA koond'!E35)&gt;0,'MTA koond'!E35,"")</f>
        <v>61914270.378999993</v>
      </c>
      <c r="M79" s="27">
        <f>IF(('MTA koond'!F35)&gt;0,'MTA koond'!F35,"")</f>
        <v>827066.34400000027</v>
      </c>
      <c r="N79" s="28">
        <f t="shared" si="89"/>
        <v>62741336.72299999</v>
      </c>
      <c r="O79" s="13">
        <f>IF(ISNUMBER(N79),(N79-N66)/N66,"")</f>
        <v>4.1881734489377487E-2</v>
      </c>
      <c r="P79" s="30">
        <f>IF(ISNUMBER(N79),P78+N79,"")</f>
        <v>522167119.99699992</v>
      </c>
      <c r="Q79" s="11">
        <f>IF(ISNUMBER(N79),(P79-P66)/P66,"")</f>
        <v>0.1230852737741556</v>
      </c>
      <c r="R79" s="30">
        <f>IF(ISNUMBER(N79),N79+N78+N77+N76+N75+N74+N73+N72+N71+N69+N68+N67,"")</f>
        <v>691744577.61099994</v>
      </c>
      <c r="S79" s="41">
        <f t="shared" ref="S79:S82" si="112">IF(ISNUMBER(R79),(R79-R66)/R66,"")</f>
        <v>0.13775443444857086</v>
      </c>
      <c r="T79" s="27"/>
      <c r="U79" s="32">
        <f>'MTA jaemüük'!H59+'MTA jaemüük'!H60</f>
        <v>1593102.1210000003</v>
      </c>
      <c r="V79" s="13">
        <f>IF(ISNUMBER(U79),(U79-U66)/U66,"")</f>
        <v>0.12883342340782869</v>
      </c>
      <c r="W79" s="30">
        <f>IF(ISNUMBER(U79),W78+U79,"")</f>
        <v>11847774.131999999</v>
      </c>
      <c r="X79" s="11">
        <f>IF(ISNUMBER(U79),(W79-W66)/W66,"")</f>
        <v>3.2831932128026799E-2</v>
      </c>
      <c r="Y79" s="30">
        <f>IF(ISNUMBER(U79),U79+U78+U77+U76+U75+U74+U73+U72+U71+U69+U68+U67,"")</f>
        <v>15907139.989</v>
      </c>
      <c r="Z79" s="41">
        <f t="shared" si="109"/>
        <v>4.9488088953150447E-2</v>
      </c>
      <c r="AA79" s="28">
        <f t="shared" si="103"/>
        <v>88627113.636999995</v>
      </c>
      <c r="AB79" s="13">
        <f>IF(ISNUMBER(AA79),(AA79-AA66)/AA66,"")</f>
        <v>2.5760205150348232E-2</v>
      </c>
      <c r="AC79" s="30">
        <f t="shared" si="105"/>
        <v>745558051.04099989</v>
      </c>
      <c r="AD79" s="11">
        <f>IF(ISNUMBER(AA79),(AC79-AC66)/AC66,"")</f>
        <v>8.803877443005069E-2</v>
      </c>
      <c r="AE79" s="30">
        <f>IF(ISNUMBER(AA79),AA79+AA78+AA77+AA76+AA75+AA74+AA73+AA72+AA71+AA69+AA68+AA67,"")</f>
        <v>986000213.57999992</v>
      </c>
      <c r="AF79" s="41">
        <f t="shared" si="106"/>
        <v>9.6615431144365133E-2</v>
      </c>
      <c r="AG79" s="1">
        <f t="shared" si="96"/>
        <v>196.94914141555552</v>
      </c>
    </row>
    <row r="80" spans="2:36" ht="14.5" x14ac:dyDescent="0.35">
      <c r="B80" s="14">
        <v>2021</v>
      </c>
      <c r="C80" s="14" t="s">
        <v>30</v>
      </c>
      <c r="D80" s="27">
        <f>IF(('MTA koond'!C36)&gt;0,'MTA koond'!C36,"")</f>
        <v>13251613.228000002</v>
      </c>
      <c r="E80" s="27">
        <f>IF(('MTA koond'!D36)&gt;0,'MTA koond'!D36,"")</f>
        <v>9759605.8150000013</v>
      </c>
      <c r="F80" s="28">
        <f t="shared" si="110"/>
        <v>23011219.043000005</v>
      </c>
      <c r="G80" s="13">
        <f>IF(ISNUMBER(F80),(F80-F67)/F67,"")</f>
        <v>-4.1069436306432131E-2</v>
      </c>
      <c r="H80" s="30">
        <f>IF(ISNUMBER(F80),F80+H79,"")</f>
        <v>234554375.95500004</v>
      </c>
      <c r="I80" s="11">
        <f>IF(ISNUMBER(H80),(H80-H67)/H67,"")</f>
        <v>7.4629711249401248E-3</v>
      </c>
      <c r="J80" s="30">
        <f>IF(ISNUMBER(F80),F80+F79+F78+F77+F76+F75+F74+F73+F72+F71+F69+F68,"")</f>
        <v>277362962.89700001</v>
      </c>
      <c r="K80" s="11">
        <f t="shared" si="111"/>
        <v>2.0126190055772281E-3</v>
      </c>
      <c r="L80" s="27">
        <f>IF(('MTA koond'!E36)&gt;0,'MTA koond'!E36,"")</f>
        <v>59581934.273999982</v>
      </c>
      <c r="M80" s="27">
        <f>IF(('MTA koond'!F36)&gt;0,'MTA koond'!F36,"")</f>
        <v>648120.91799999995</v>
      </c>
      <c r="N80" s="28">
        <f t="shared" si="89"/>
        <v>60230055.191999979</v>
      </c>
      <c r="O80" s="13">
        <f>IF(ISNUMBER(N80),(N80-N67)/N67,"")</f>
        <v>1.1053557492274218E-2</v>
      </c>
      <c r="P80" s="30">
        <f>IF(ISNUMBER(N80),P79+N80,"")</f>
        <v>582397175.18899989</v>
      </c>
      <c r="Q80" s="11">
        <f>IF(ISNUMBER(N80),(P80-P67)/P67,"")</f>
        <v>0.11036123105200991</v>
      </c>
      <c r="R80" s="30">
        <f>IF(ISNUMBER(N80),N80+N79+N78+N77+N76+N75+N74+N73+N72+N71+N69+N68,"")</f>
        <v>692403055.46599984</v>
      </c>
      <c r="S80" s="41">
        <f t="shared" si="112"/>
        <v>0.12389748494058757</v>
      </c>
      <c r="T80" s="25"/>
      <c r="U80" s="32">
        <f>'MTA jaemüük'!H60+'MTA jaemüük'!H61</f>
        <v>1646891.6250000005</v>
      </c>
      <c r="V80" s="13">
        <f>IF(ISNUMBER(U80),(U80-U67)/U67,"")</f>
        <v>0.1619638176808669</v>
      </c>
      <c r="W80" s="30">
        <f>IF(ISNUMBER(U80),W79+U80,"")</f>
        <v>13494665.756999999</v>
      </c>
      <c r="X80" s="11">
        <f>IF(ISNUMBER(U80),(W80-W67)/W67,"")</f>
        <v>4.7032441232922835E-2</v>
      </c>
      <c r="Y80" s="30">
        <f>IF(ISNUMBER(U80),U80+U79+U78+U77+U76+U75+U74+U73+U72+U71+U69+U68,"")</f>
        <v>16136696.926000001</v>
      </c>
      <c r="Z80" s="41">
        <f t="shared" si="109"/>
        <v>5.5095464358079285E-2</v>
      </c>
      <c r="AA80" s="28">
        <f t="shared" si="103"/>
        <v>84888165.859999985</v>
      </c>
      <c r="AB80" s="13">
        <f>IF(ISNUMBER(AA80),(AA80-AA67)/AA67,"")</f>
        <v>-1.1472322064433895E-3</v>
      </c>
      <c r="AC80" s="30">
        <f t="shared" si="105"/>
        <v>830446216.9009999</v>
      </c>
      <c r="AD80" s="11">
        <f>IF(ISNUMBER(AA80),(AC80-AC67)/AC67,"")</f>
        <v>7.819799719095992E-2</v>
      </c>
      <c r="AE80" s="30">
        <f>IF(ISNUMBER(AA80),AA80+AA79+AA78+AA77+AA76+AA75+AA74+AA73+AA72+AA71+AA69+AA68,"")</f>
        <v>985902715.28899992</v>
      </c>
      <c r="AF80" s="41">
        <f t="shared" si="106"/>
        <v>8.5589029480259371E-2</v>
      </c>
      <c r="AG80" s="1">
        <f t="shared" si="96"/>
        <v>188.64036857777774</v>
      </c>
    </row>
    <row r="81" spans="2:33" ht="14.5" x14ac:dyDescent="0.35">
      <c r="B81" s="14">
        <v>2021</v>
      </c>
      <c r="C81" s="14" t="s">
        <v>31</v>
      </c>
      <c r="D81" s="27">
        <f>IF(('MTA koond'!C37)&gt;0,'MTA koond'!C37,"")</f>
        <v>12307626.299000001</v>
      </c>
      <c r="E81" s="27">
        <f>IF(('MTA koond'!D37)&gt;0,'MTA koond'!D37,"")</f>
        <v>8843378.3620000016</v>
      </c>
      <c r="F81" s="28">
        <f t="shared" si="110"/>
        <v>21151004.661000002</v>
      </c>
      <c r="G81" s="13">
        <f>IF(ISNUMBER(F81),(F81-F68)/F68,"")</f>
        <v>-2.2743737598990909E-2</v>
      </c>
      <c r="H81" s="30">
        <f>IF(ISNUMBER(F81),F81+H80,"")</f>
        <v>255705380.61600006</v>
      </c>
      <c r="I81" s="11">
        <f>IF(ISNUMBER(H81),(H81-H68)/H68,"")</f>
        <v>4.8937220254694344E-3</v>
      </c>
      <c r="J81" s="30">
        <f>IF(ISNUMBER(F81),F81+F80+F79+F78+F77+F76+F75+F74+F73+F72+F71+F69,"")</f>
        <v>276870714.42699999</v>
      </c>
      <c r="K81" s="11">
        <f t="shared" si="111"/>
        <v>1.537811476922745E-3</v>
      </c>
      <c r="L81" s="27">
        <f>IF(('MTA koond'!E37)&gt;0,'MTA koond'!E37,"")</f>
        <v>58935673.376000009</v>
      </c>
      <c r="M81" s="27">
        <f>IF(('MTA koond'!F37)&gt;0,'MTA koond'!F37,"")</f>
        <v>550552.01800000004</v>
      </c>
      <c r="N81" s="28">
        <f t="shared" si="89"/>
        <v>59486225.394000009</v>
      </c>
      <c r="O81" s="13">
        <f>IF(ISNUMBER(N81),(N81-N68)/N68,"")</f>
        <v>5.4651805758851535E-2</v>
      </c>
      <c r="P81" s="30">
        <f>IF(ISNUMBER(N81),P80+N81,"")</f>
        <v>641883400.58299994</v>
      </c>
      <c r="Q81" s="11">
        <f>IF(ISNUMBER(N81),(P81-P68)/P68,"")</f>
        <v>0.10495215213990841</v>
      </c>
      <c r="R81" s="30">
        <f>IF(ISNUMBER(N81),N81+N80+N79+N78+N77+N76+N75+N74+N73+N72+N71+N69,"")</f>
        <v>695485617.51899993</v>
      </c>
      <c r="S81" s="41">
        <f t="shared" si="112"/>
        <v>0.11358219969144251</v>
      </c>
      <c r="T81" s="33"/>
      <c r="U81" s="32">
        <f>'MTA jaemüük'!H61+'MTA jaemüük'!H62</f>
        <v>1732988.1150000002</v>
      </c>
      <c r="V81" s="13">
        <f>IF(ISNUMBER(U81),(U81-U68)/U68,"")</f>
        <v>0.31424505292682009</v>
      </c>
      <c r="W81" s="30">
        <f>IF(ISNUMBER(U81),W80+U81,"")</f>
        <v>15227653.872</v>
      </c>
      <c r="X81" s="11">
        <f>IF(ISNUMBER(U81),(W81-W68)/W68,"")</f>
        <v>7.1833517175823494E-2</v>
      </c>
      <c r="Y81" s="30">
        <f>IF(ISNUMBER(U81),U81+U80+U79+U78+U77+U76+U75+U74+U73+U72+U71+U69,"")</f>
        <v>16551066.332000002</v>
      </c>
      <c r="Z81" s="41">
        <f t="shared" si="109"/>
        <v>7.2669343288380664E-2</v>
      </c>
      <c r="AA81" s="28">
        <f t="shared" si="103"/>
        <v>82370218.170000002</v>
      </c>
      <c r="AB81" s="13">
        <f>IF(ISNUMBER(AA81),(AA81-AA68)/AA68,"")</f>
        <v>3.7858788227755548E-2</v>
      </c>
      <c r="AC81" s="30">
        <f t="shared" si="105"/>
        <v>912816435.07099986</v>
      </c>
      <c r="AD81" s="11">
        <f>IF(ISNUMBER(AA81),(AC81-AC68)/AC68,"")</f>
        <v>7.4429624479437434E-2</v>
      </c>
      <c r="AE81" s="30">
        <f>IF(ISNUMBER(AA81),AA81+AA80+AA79+AA78+AA77+AA76+AA75+AA74+AA73+AA72+AA71+AA69,"")</f>
        <v>988907398.27799988</v>
      </c>
      <c r="AF81" s="41">
        <f t="shared" si="106"/>
        <v>7.9094372105823194E-2</v>
      </c>
      <c r="AG81" s="1">
        <f t="shared" si="96"/>
        <v>183.04492926666668</v>
      </c>
    </row>
    <row r="82" spans="2:33" ht="14.5" x14ac:dyDescent="0.35">
      <c r="B82" s="14">
        <v>2021</v>
      </c>
      <c r="C82" s="14" t="s">
        <v>32</v>
      </c>
      <c r="D82" s="27">
        <f>IF(('MTA koond'!C38)&gt;0,'MTA koond'!C38,"")</f>
        <v>13244256.491000004</v>
      </c>
      <c r="E82" s="27">
        <f>IF(('MTA koond'!D38)&gt;0,'MTA koond'!D38,"")</f>
        <v>9937804.3440000024</v>
      </c>
      <c r="F82" s="28">
        <f t="shared" si="110"/>
        <v>23182060.835000008</v>
      </c>
      <c r="G82" s="13">
        <f>IF(ISNUMBER(F82),(F82-F69)/F69,"")</f>
        <v>9.5284442098043667E-2</v>
      </c>
      <c r="H82" s="30">
        <f>IF(ISNUMBER(F82),F82+H81,"")</f>
        <v>278887441.45100009</v>
      </c>
      <c r="I82" s="11">
        <f>IF(ISNUMBER(H82),(H82-H69)/H69,"")</f>
        <v>1.1834843438501035E-2</v>
      </c>
      <c r="J82" s="30">
        <f>IF(ISNUMBER(F82),F82+F81+F80+F79+F78+F77+F76+F75+F74+F73+F72+F71,"")</f>
        <v>278887441.45099998</v>
      </c>
      <c r="K82" s="11">
        <f t="shared" si="111"/>
        <v>1.1834843438500603E-2</v>
      </c>
      <c r="L82" s="27">
        <f>IF(('MTA koond'!E38)&gt;0,'MTA koond'!E38,"")</f>
        <v>59612359.241000026</v>
      </c>
      <c r="M82" s="27">
        <f>IF(('MTA koond'!F38)&gt;0,'MTA koond'!F38,"")</f>
        <v>616813.93599999987</v>
      </c>
      <c r="N82" s="28">
        <f t="shared" si="89"/>
        <v>60229173.177000023</v>
      </c>
      <c r="O82" s="13">
        <f>IF(ISNUMBER(N82),(N82-N69)/N69,"")</f>
        <v>0.12363212978508829</v>
      </c>
      <c r="P82" s="30">
        <f>IF(ISNUMBER(N82),P81+N82,"")</f>
        <v>702112573.75999999</v>
      </c>
      <c r="Q82" s="11">
        <f>IF(ISNUMBER(N82),(P82-P69)/P69,"")</f>
        <v>0.1065301834594541</v>
      </c>
      <c r="R82" s="30">
        <f>IF(ISNUMBER(N82),N82+N81+N80+N79+N78+N77+N76+N75+N74+N73+N72+N71,"")</f>
        <v>702112573.75999999</v>
      </c>
      <c r="S82" s="41">
        <f t="shared" si="112"/>
        <v>0.1065301834594541</v>
      </c>
      <c r="T82" s="25"/>
      <c r="U82" s="32">
        <f>'MTA jaemüük'!H62+'MTA jaemüük'!H63</f>
        <v>1817887.844</v>
      </c>
      <c r="V82" s="13">
        <f>IF(ISNUMBER(U82),(U82-U69)/U69,"")</f>
        <v>0.37363663932860314</v>
      </c>
      <c r="W82" s="30">
        <f>IF(ISNUMBER(U82),W81+U82,"")</f>
        <v>17045541.715999998</v>
      </c>
      <c r="X82" s="11">
        <f>IF(ISNUMBER(U82),(W82-W69)/W69,"")</f>
        <v>9.7551266255617899E-2</v>
      </c>
      <c r="Y82" s="30">
        <f>IF(ISNUMBER(U82),U82+U81+U80+U79+U78+U77+U76+U75+U73+U72+U71+U71,"")</f>
        <v>17062564.646000002</v>
      </c>
      <c r="Z82" s="41">
        <f t="shared" si="109"/>
        <v>8.6103942840754275E-2</v>
      </c>
      <c r="AA82" s="28">
        <f t="shared" si="103"/>
        <v>85229121.856000021</v>
      </c>
      <c r="AB82" s="13">
        <f>IF(ISNUMBER(AA82),(AA82-AA69)/AA69,"")</f>
        <v>0.12009518954491741</v>
      </c>
      <c r="AC82" s="30">
        <f t="shared" si="105"/>
        <v>998045556.92699993</v>
      </c>
      <c r="AD82" s="11">
        <f>IF(ISNUMBER(AA82),(AC82-AC69)/AC69,"")</f>
        <v>7.8183364397503535E-2</v>
      </c>
      <c r="AE82" s="30">
        <f>IF(ISNUMBER(AA82),AA82+AA81+AA80+AA79+AA78+AA77+AA76+AA75+AA74+AA73+AA72+AA71,"")</f>
        <v>998045556.92700005</v>
      </c>
      <c r="AF82" s="41">
        <f t="shared" si="106"/>
        <v>7.8183364397503799E-2</v>
      </c>
      <c r="AG82" s="1">
        <f t="shared" si="96"/>
        <v>189.39804856888895</v>
      </c>
    </row>
    <row r="83" spans="2:33" x14ac:dyDescent="0.3">
      <c r="B83" s="15">
        <v>2021</v>
      </c>
      <c r="C83" s="15" t="s">
        <v>33</v>
      </c>
      <c r="D83" s="34">
        <f>SUM(D71:D82)</f>
        <v>155725505.79700002</v>
      </c>
      <c r="E83" s="34">
        <f>SUM(E71:E82)</f>
        <v>123161935.65399998</v>
      </c>
      <c r="F83" s="34">
        <f>SUM(F71:F82)</f>
        <v>278887441.45100009</v>
      </c>
      <c r="G83" s="35"/>
      <c r="H83" s="35"/>
      <c r="I83" s="35"/>
      <c r="J83" s="35"/>
      <c r="K83" s="35"/>
      <c r="L83" s="34">
        <f>SUM(L71:L82)</f>
        <v>693322997.71599996</v>
      </c>
      <c r="M83" s="34">
        <f>SUM(M71:M82)</f>
        <v>8789576.0439999998</v>
      </c>
      <c r="N83" s="34">
        <f>SUM(N71:N82)</f>
        <v>702112573.75999999</v>
      </c>
      <c r="O83" s="35"/>
      <c r="P83" s="35"/>
      <c r="Q83" s="35"/>
      <c r="R83" s="35"/>
      <c r="S83" s="35"/>
      <c r="T83" s="34">
        <f>SUM(T71:T82)</f>
        <v>0</v>
      </c>
      <c r="U83" s="34">
        <f>SUM(U71:U82)</f>
        <v>17045541.715999998</v>
      </c>
      <c r="V83" s="35"/>
      <c r="W83" s="35"/>
      <c r="X83" s="35"/>
      <c r="Y83" s="35"/>
      <c r="Z83" s="35"/>
      <c r="AA83" s="34">
        <f>F83+N83+U83</f>
        <v>998045556.92700005</v>
      </c>
      <c r="AB83" s="35"/>
      <c r="AC83" s="35"/>
      <c r="AD83" s="35"/>
      <c r="AE83" s="35"/>
      <c r="AF83" s="35"/>
      <c r="AG83" s="1">
        <f>AA83/1000/450</f>
        <v>2217.8790153933332</v>
      </c>
    </row>
    <row r="85" spans="2:33" x14ac:dyDescent="0.3">
      <c r="B85" s="24" t="s">
        <v>34</v>
      </c>
      <c r="C85" s="71">
        <v>44568</v>
      </c>
    </row>
  </sheetData>
  <autoFilter ref="B5:C70" xr:uid="{00000000-0009-0000-0000-000001000000}">
    <filterColumn colId="0">
      <filters>
        <filter val="2019"/>
        <filter val="2020"/>
      </filters>
    </filterColumn>
  </autoFilter>
  <phoneticPr fontId="5" type="noConversion"/>
  <pageMargins left="0.75" right="0.75" top="1" bottom="1" header="0.3" footer="0.3"/>
  <pageSetup paperSize="9" scale="88" orientation="landscape" r:id="rId1"/>
  <headerFooter alignWithMargins="0"/>
  <ignoredErrors>
    <ignoredError sqref="F18 H19:H30 J30 AA30 H32:H33 H34:H43 J43 F31 N31 U31 J32:J42 AA32:AA43 AA45:AA49 U44 F44 N44 F57 N57 AA51 AA50 AA52:AA59 AA60:AA66 AA67:AA69 F70 N70 AA71:AA8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17A1-5943-3240-AE12-B8C7363DA9A3}">
  <dimension ref="A1:AN54"/>
  <sheetViews>
    <sheetView workbookViewId="0">
      <pane xSplit="1" ySplit="2" topLeftCell="B15" activePane="bottomRight" state="frozen"/>
      <selection pane="topRight" activeCell="B64" sqref="B64"/>
      <selection pane="bottomLeft" activeCell="B64" sqref="B64"/>
      <selection pane="bottomRight" activeCell="AG44" sqref="AG44"/>
    </sheetView>
  </sheetViews>
  <sheetFormatPr defaultColWidth="8.54296875" defaultRowHeight="12.5" x14ac:dyDescent="0.25"/>
  <cols>
    <col min="1" max="1" width="20.54296875" style="43" bestFit="1" customWidth="1"/>
    <col min="2" max="2" width="12" style="43" customWidth="1"/>
    <col min="3" max="23" width="11.1796875" style="43" bestFit="1" customWidth="1"/>
    <col min="24" max="36" width="10.1796875" style="43" bestFit="1" customWidth="1"/>
    <col min="37" max="37" width="9" style="43" bestFit="1" customWidth="1"/>
    <col min="38" max="40" width="11.1796875" style="43" bestFit="1" customWidth="1"/>
    <col min="41" max="16384" width="8.54296875" style="43"/>
  </cols>
  <sheetData>
    <row r="1" spans="1:40" ht="13" x14ac:dyDescent="0.3">
      <c r="A1" s="149" t="s">
        <v>42</v>
      </c>
      <c r="B1" s="150">
        <v>2016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1">
        <v>2017</v>
      </c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1">
        <v>2018</v>
      </c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</row>
    <row r="2" spans="1:40" ht="13" x14ac:dyDescent="0.3">
      <c r="A2" s="149"/>
      <c r="B2" s="44">
        <v>1</v>
      </c>
      <c r="C2" s="44">
        <v>2</v>
      </c>
      <c r="D2" s="44">
        <v>3</v>
      </c>
      <c r="E2" s="44">
        <v>4</v>
      </c>
      <c r="F2" s="44">
        <v>5</v>
      </c>
      <c r="G2" s="44">
        <v>6</v>
      </c>
      <c r="H2" s="44">
        <v>7</v>
      </c>
      <c r="I2" s="44">
        <v>8</v>
      </c>
      <c r="J2" s="44">
        <v>9</v>
      </c>
      <c r="K2" s="44">
        <v>10</v>
      </c>
      <c r="L2" s="44">
        <v>11</v>
      </c>
      <c r="M2" s="44">
        <v>12</v>
      </c>
      <c r="N2" s="44">
        <v>1</v>
      </c>
      <c r="O2" s="44">
        <v>2</v>
      </c>
      <c r="P2" s="44">
        <v>3</v>
      </c>
      <c r="Q2" s="44">
        <v>4</v>
      </c>
      <c r="R2" s="44">
        <v>5</v>
      </c>
      <c r="S2" s="44">
        <v>6</v>
      </c>
      <c r="T2" s="44">
        <v>7</v>
      </c>
      <c r="U2" s="44">
        <v>8</v>
      </c>
      <c r="V2" s="44">
        <v>9</v>
      </c>
      <c r="W2" s="44">
        <v>10</v>
      </c>
      <c r="X2" s="44">
        <v>11</v>
      </c>
      <c r="Y2" s="44">
        <v>12</v>
      </c>
      <c r="Z2" s="44">
        <v>1</v>
      </c>
      <c r="AA2" s="44">
        <v>2</v>
      </c>
      <c r="AB2" s="44">
        <v>3</v>
      </c>
      <c r="AC2" s="44">
        <v>4</v>
      </c>
      <c r="AD2" s="44">
        <v>5</v>
      </c>
      <c r="AE2" s="44">
        <v>6</v>
      </c>
      <c r="AF2" s="44">
        <v>7</v>
      </c>
      <c r="AG2" s="44">
        <v>8</v>
      </c>
      <c r="AH2" s="44">
        <v>9</v>
      </c>
      <c r="AI2" s="44">
        <v>10</v>
      </c>
      <c r="AJ2" s="44">
        <v>11</v>
      </c>
      <c r="AK2" s="44">
        <v>12</v>
      </c>
      <c r="AL2" s="45">
        <v>2016</v>
      </c>
      <c r="AM2" s="45">
        <v>2017</v>
      </c>
      <c r="AN2" s="42">
        <v>2018</v>
      </c>
    </row>
    <row r="3" spans="1:40" ht="13" x14ac:dyDescent="0.3">
      <c r="A3" s="46" t="s">
        <v>43</v>
      </c>
      <c r="B3" s="47">
        <v>19543127.32</v>
      </c>
      <c r="C3" s="47">
        <v>15900601.470000003</v>
      </c>
      <c r="D3" s="47">
        <v>17610138.430000007</v>
      </c>
      <c r="E3" s="47">
        <v>18425659.470000003</v>
      </c>
      <c r="F3" s="47">
        <v>19522909.040000003</v>
      </c>
      <c r="G3" s="47">
        <v>18401700.569999997</v>
      </c>
      <c r="H3" s="47">
        <v>19261150.689999998</v>
      </c>
      <c r="I3" s="47">
        <v>19839738.829999998</v>
      </c>
      <c r="J3" s="47">
        <v>18984717.990000002</v>
      </c>
      <c r="K3" s="47">
        <v>20220027.620000001</v>
      </c>
      <c r="L3" s="47">
        <v>18906615.16</v>
      </c>
      <c r="M3" s="47">
        <v>17527751.199999999</v>
      </c>
      <c r="N3" s="47">
        <v>17789649</v>
      </c>
      <c r="O3" s="47">
        <v>15801078</v>
      </c>
      <c r="P3" s="47">
        <v>18248226</v>
      </c>
      <c r="Q3" s="47">
        <v>18240592</v>
      </c>
      <c r="R3" s="47">
        <v>20071514</v>
      </c>
      <c r="S3" s="47">
        <v>19315641</v>
      </c>
      <c r="T3" s="47">
        <v>19435710</v>
      </c>
      <c r="U3" s="47">
        <v>20288824</v>
      </c>
      <c r="V3" s="47">
        <v>19467224</v>
      </c>
      <c r="W3" s="47">
        <v>20087663</v>
      </c>
      <c r="X3" s="47">
        <v>19409271</v>
      </c>
      <c r="Y3" s="47">
        <v>18352932</v>
      </c>
      <c r="Z3" s="47">
        <v>18176413</v>
      </c>
      <c r="AA3" s="47">
        <v>17616406</v>
      </c>
      <c r="AB3" s="47">
        <v>18705964</v>
      </c>
      <c r="AC3" s="47">
        <v>19076788</v>
      </c>
      <c r="AD3" s="47">
        <v>20636824</v>
      </c>
      <c r="AE3" s="47">
        <v>21044012</v>
      </c>
      <c r="AF3" s="47">
        <v>20940756</v>
      </c>
      <c r="AG3" s="47">
        <v>23266139</v>
      </c>
      <c r="AH3" s="47">
        <v>19489960</v>
      </c>
      <c r="AI3" s="47">
        <v>20959409</v>
      </c>
      <c r="AJ3" s="47">
        <v>20932203</v>
      </c>
      <c r="AL3" s="48">
        <f>SUM(B3:M3)/AL$19</f>
        <v>0.39041069747838397</v>
      </c>
      <c r="AM3" s="48">
        <f>SUM(N3:Y3)/AM$19</f>
        <v>0.39297007336131201</v>
      </c>
      <c r="AN3" s="48">
        <f>SUM(Z3:AK3)/AN$19</f>
        <v>0.41174886517300002</v>
      </c>
    </row>
    <row r="4" spans="1:40" ht="13" x14ac:dyDescent="0.3">
      <c r="A4" s="46" t="s">
        <v>44</v>
      </c>
      <c r="B4" s="47">
        <v>323346.12</v>
      </c>
      <c r="C4" s="47">
        <v>230385.79</v>
      </c>
      <c r="D4" s="47">
        <v>292971.56</v>
      </c>
      <c r="E4" s="47">
        <v>293190.25</v>
      </c>
      <c r="F4" s="47">
        <v>328809.86999999994</v>
      </c>
      <c r="G4" s="47">
        <v>357055.31</v>
      </c>
      <c r="H4" s="47">
        <v>409220.45</v>
      </c>
      <c r="I4" s="47">
        <v>386656.47</v>
      </c>
      <c r="J4" s="47">
        <v>314209.25</v>
      </c>
      <c r="K4" s="47">
        <v>329042.52</v>
      </c>
      <c r="L4" s="47">
        <v>323687.5</v>
      </c>
      <c r="M4" s="47">
        <v>282767.38</v>
      </c>
      <c r="N4" s="47">
        <v>286047</v>
      </c>
      <c r="O4" s="47">
        <v>249180</v>
      </c>
      <c r="P4" s="47">
        <v>288891</v>
      </c>
      <c r="Q4" s="47">
        <v>306254</v>
      </c>
      <c r="R4" s="47">
        <v>347477</v>
      </c>
      <c r="S4" s="47">
        <v>327569</v>
      </c>
      <c r="T4" s="47">
        <v>392019</v>
      </c>
      <c r="U4" s="47">
        <v>371650</v>
      </c>
      <c r="V4" s="47">
        <v>335685</v>
      </c>
      <c r="W4" s="47">
        <v>322436</v>
      </c>
      <c r="X4" s="47">
        <v>294006</v>
      </c>
      <c r="Y4" s="47">
        <v>280897</v>
      </c>
      <c r="Z4" s="47">
        <v>319181</v>
      </c>
      <c r="AA4" s="47">
        <v>310703</v>
      </c>
      <c r="AB4" s="47">
        <v>312933</v>
      </c>
      <c r="AC4" s="47">
        <v>407492</v>
      </c>
      <c r="AD4" s="47">
        <v>792310</v>
      </c>
      <c r="AE4" s="47">
        <v>443370</v>
      </c>
      <c r="AF4" s="47">
        <v>556222</v>
      </c>
      <c r="AG4" s="47">
        <v>512553</v>
      </c>
      <c r="AH4" s="47">
        <v>422564</v>
      </c>
      <c r="AI4" s="47">
        <v>492108</v>
      </c>
      <c r="AJ4" s="47">
        <v>373921</v>
      </c>
      <c r="AL4" s="48">
        <f t="shared" ref="AL4:AL17" si="0">SUM(B4:M4)/$AL$19</f>
        <v>6.7430427973379737E-3</v>
      </c>
      <c r="AM4" s="48">
        <f t="shared" ref="AM4:AM17" si="1">SUM(N4:Y4)/AM$19</f>
        <v>6.5962955012542996E-3</v>
      </c>
      <c r="AN4" s="48">
        <f t="shared" ref="AN4:AN17" si="2">SUM(Z4:AK4)/AN$19</f>
        <v>9.2165219777526099E-3</v>
      </c>
    </row>
    <row r="5" spans="1:40" ht="13" x14ac:dyDescent="0.3">
      <c r="A5" s="46" t="s">
        <v>45</v>
      </c>
      <c r="B5" s="47">
        <v>3066393.81</v>
      </c>
      <c r="C5" s="47">
        <v>2476344.5799999996</v>
      </c>
      <c r="D5" s="47">
        <v>2622509.38</v>
      </c>
      <c r="E5" s="47">
        <v>2609431.0199999996</v>
      </c>
      <c r="F5" s="47">
        <v>2839564.37</v>
      </c>
      <c r="G5" s="47">
        <v>2708185.3600000003</v>
      </c>
      <c r="H5" s="47">
        <v>2841896.61</v>
      </c>
      <c r="I5" s="47">
        <v>3114125.5</v>
      </c>
      <c r="J5" s="47">
        <v>2877547.7299999995</v>
      </c>
      <c r="K5" s="47">
        <v>2756142</v>
      </c>
      <c r="L5" s="47">
        <v>3033552.8600000003</v>
      </c>
      <c r="M5" s="47">
        <v>2754065.3800000004</v>
      </c>
      <c r="N5" s="47">
        <v>2831788</v>
      </c>
      <c r="O5" s="47">
        <v>2380740</v>
      </c>
      <c r="P5" s="47">
        <v>2790599</v>
      </c>
      <c r="Q5" s="47">
        <v>2696075</v>
      </c>
      <c r="R5" s="47">
        <v>3106800</v>
      </c>
      <c r="S5" s="47">
        <v>2862002</v>
      </c>
      <c r="T5" s="47">
        <v>3105291</v>
      </c>
      <c r="U5" s="47">
        <v>3337380</v>
      </c>
      <c r="V5" s="47">
        <v>3054626</v>
      </c>
      <c r="W5" s="47">
        <v>3045834</v>
      </c>
      <c r="X5" s="47">
        <v>2646332</v>
      </c>
      <c r="Y5" s="47">
        <v>2502331</v>
      </c>
      <c r="Z5" s="47">
        <v>2558623</v>
      </c>
      <c r="AA5" s="47">
        <v>2430054</v>
      </c>
      <c r="AB5" s="47">
        <v>2516814</v>
      </c>
      <c r="AC5" s="47">
        <v>2474879</v>
      </c>
      <c r="AD5" s="47">
        <v>2792065</v>
      </c>
      <c r="AE5" s="47">
        <v>2731826</v>
      </c>
      <c r="AF5" s="47">
        <v>2845193</v>
      </c>
      <c r="AG5" s="47">
        <v>2988196</v>
      </c>
      <c r="AH5" s="47">
        <v>2587321</v>
      </c>
      <c r="AI5" s="47">
        <v>2741955</v>
      </c>
      <c r="AJ5" s="47">
        <v>2653976</v>
      </c>
      <c r="AL5" s="48">
        <f t="shared" si="0"/>
        <v>5.8697704029206814E-2</v>
      </c>
      <c r="AM5" s="48">
        <f t="shared" si="1"/>
        <v>5.9610932182518207E-2</v>
      </c>
      <c r="AN5" s="48">
        <f t="shared" si="2"/>
        <v>5.4666644082256341E-2</v>
      </c>
    </row>
    <row r="6" spans="1:40" ht="13" x14ac:dyDescent="0.3">
      <c r="A6" s="46" t="s">
        <v>46</v>
      </c>
      <c r="B6" s="47">
        <v>2215506.4500000002</v>
      </c>
      <c r="C6" s="47">
        <v>1998323.28</v>
      </c>
      <c r="D6" s="47">
        <v>2023181.43</v>
      </c>
      <c r="E6" s="47">
        <v>1922063.31</v>
      </c>
      <c r="F6" s="47">
        <v>1897034.3900000001</v>
      </c>
      <c r="G6" s="47">
        <v>2037891.65</v>
      </c>
      <c r="H6" s="47">
        <v>2121227.8899999997</v>
      </c>
      <c r="I6" s="47">
        <v>2295454.5900000003</v>
      </c>
      <c r="J6" s="47">
        <v>2282797.88</v>
      </c>
      <c r="K6" s="47">
        <v>2122771.23</v>
      </c>
      <c r="L6" s="47">
        <v>2126301.66</v>
      </c>
      <c r="M6" s="47">
        <v>1951476.3799999997</v>
      </c>
      <c r="N6" s="47">
        <v>2065544</v>
      </c>
      <c r="O6" s="47">
        <v>1815038</v>
      </c>
      <c r="P6" s="47">
        <v>2067389</v>
      </c>
      <c r="Q6" s="47">
        <v>1986342</v>
      </c>
      <c r="R6" s="47">
        <v>2387124</v>
      </c>
      <c r="S6" s="47">
        <v>2089294</v>
      </c>
      <c r="T6" s="47">
        <v>2162099</v>
      </c>
      <c r="U6" s="47">
        <v>2473484</v>
      </c>
      <c r="V6" s="47">
        <v>2340112</v>
      </c>
      <c r="W6" s="47">
        <v>2171283</v>
      </c>
      <c r="X6" s="47">
        <v>2060990</v>
      </c>
      <c r="Y6" s="47">
        <v>1920852</v>
      </c>
      <c r="Z6" s="47">
        <v>2043073</v>
      </c>
      <c r="AA6" s="47">
        <v>1965584</v>
      </c>
      <c r="AB6" s="47">
        <v>2236458</v>
      </c>
      <c r="AC6" s="47">
        <v>1989296</v>
      </c>
      <c r="AD6" s="47">
        <v>2296399</v>
      </c>
      <c r="AE6" s="47">
        <v>2297121</v>
      </c>
      <c r="AF6" s="47">
        <v>2355373</v>
      </c>
      <c r="AG6" s="47">
        <v>2485573</v>
      </c>
      <c r="AH6" s="47">
        <v>2330532</v>
      </c>
      <c r="AI6" s="47">
        <v>2454774</v>
      </c>
      <c r="AJ6" s="47">
        <v>2391842</v>
      </c>
      <c r="AL6" s="48">
        <f t="shared" si="0"/>
        <v>4.3534204534473861E-2</v>
      </c>
      <c r="AM6" s="48">
        <f t="shared" si="1"/>
        <v>4.4308655209002248E-2</v>
      </c>
      <c r="AN6" s="48">
        <f t="shared" si="2"/>
        <v>4.6323568269961236E-2</v>
      </c>
    </row>
    <row r="7" spans="1:40" ht="13" x14ac:dyDescent="0.3">
      <c r="A7" s="46" t="s">
        <v>47</v>
      </c>
      <c r="B7" s="47">
        <v>1692653.77</v>
      </c>
      <c r="C7" s="47">
        <v>1716286.39</v>
      </c>
      <c r="D7" s="47">
        <v>1612633.5899999999</v>
      </c>
      <c r="E7" s="47">
        <v>1570267.8499999999</v>
      </c>
      <c r="F7" s="47">
        <v>1766355.62</v>
      </c>
      <c r="G7" s="47">
        <v>1646805.93</v>
      </c>
      <c r="H7" s="47">
        <v>1717684.3000000003</v>
      </c>
      <c r="I7" s="47">
        <v>1776443.34</v>
      </c>
      <c r="J7" s="47">
        <v>1759756.7599999998</v>
      </c>
      <c r="K7" s="47">
        <v>1783497.97</v>
      </c>
      <c r="L7" s="47">
        <v>1714803.52</v>
      </c>
      <c r="M7" s="47">
        <v>1568366.7599999998</v>
      </c>
      <c r="N7" s="47">
        <v>1705323</v>
      </c>
      <c r="O7" s="47">
        <v>1557664</v>
      </c>
      <c r="P7" s="47">
        <v>1641865</v>
      </c>
      <c r="Q7" s="47">
        <v>1511251</v>
      </c>
      <c r="R7" s="47">
        <v>1864322</v>
      </c>
      <c r="S7" s="47">
        <v>1744921</v>
      </c>
      <c r="T7" s="47">
        <v>1819199</v>
      </c>
      <c r="U7" s="47">
        <v>2030198</v>
      </c>
      <c r="V7" s="47">
        <v>1777261</v>
      </c>
      <c r="W7" s="47">
        <v>1710889</v>
      </c>
      <c r="X7" s="47">
        <v>1661478</v>
      </c>
      <c r="Y7" s="47">
        <v>1549977</v>
      </c>
      <c r="Z7" s="47">
        <v>1549856</v>
      </c>
      <c r="AA7" s="47">
        <v>1631756</v>
      </c>
      <c r="AB7" s="47">
        <v>1849145</v>
      </c>
      <c r="AC7" s="47">
        <v>1596021</v>
      </c>
      <c r="AD7" s="47">
        <v>1945459</v>
      </c>
      <c r="AE7" s="47">
        <v>2028980</v>
      </c>
      <c r="AF7" s="47">
        <v>2068907</v>
      </c>
      <c r="AG7" s="47">
        <v>2158168</v>
      </c>
      <c r="AH7" s="47">
        <v>1866971</v>
      </c>
      <c r="AI7" s="47">
        <v>1911426</v>
      </c>
      <c r="AJ7" s="47">
        <v>1862782</v>
      </c>
      <c r="AL7" s="48">
        <f t="shared" si="0"/>
        <v>3.5402730112658064E-2</v>
      </c>
      <c r="AM7" s="48">
        <f t="shared" si="1"/>
        <v>3.5694507381199655E-2</v>
      </c>
      <c r="AN7" s="48">
        <f t="shared" si="2"/>
        <v>3.8163808388605086E-2</v>
      </c>
    </row>
    <row r="8" spans="1:40" ht="13" x14ac:dyDescent="0.3">
      <c r="A8" s="46" t="s">
        <v>48</v>
      </c>
      <c r="B8" s="47">
        <v>851984.31</v>
      </c>
      <c r="C8" s="47">
        <v>715882.62</v>
      </c>
      <c r="D8" s="47">
        <v>837294.48999999987</v>
      </c>
      <c r="E8" s="47">
        <v>839623.23</v>
      </c>
      <c r="F8" s="47">
        <v>985809.30999999994</v>
      </c>
      <c r="G8" s="47">
        <v>954681.99</v>
      </c>
      <c r="H8" s="47">
        <v>1116937.0199999998</v>
      </c>
      <c r="I8" s="47">
        <v>1151146.67</v>
      </c>
      <c r="J8" s="47">
        <v>1015938.9900000001</v>
      </c>
      <c r="K8" s="47">
        <v>1024974.8799999999</v>
      </c>
      <c r="L8" s="47">
        <v>986223.86999999988</v>
      </c>
      <c r="M8" s="47">
        <v>896274.06</v>
      </c>
      <c r="N8" s="47">
        <v>914336</v>
      </c>
      <c r="O8" s="47">
        <v>802047</v>
      </c>
      <c r="P8" s="47">
        <v>896178</v>
      </c>
      <c r="Q8" s="47">
        <v>913268</v>
      </c>
      <c r="R8" s="47">
        <v>1073060</v>
      </c>
      <c r="S8" s="47">
        <v>1069686</v>
      </c>
      <c r="T8" s="47">
        <v>1220847</v>
      </c>
      <c r="U8" s="47">
        <v>1257544</v>
      </c>
      <c r="V8" s="47">
        <v>1120899</v>
      </c>
      <c r="W8" s="47">
        <v>1036676</v>
      </c>
      <c r="X8" s="47">
        <v>648217</v>
      </c>
      <c r="Y8" s="47">
        <v>607611</v>
      </c>
      <c r="Z8" s="47">
        <v>630100</v>
      </c>
      <c r="AA8" s="47">
        <v>630736</v>
      </c>
      <c r="AB8" s="47">
        <v>680955</v>
      </c>
      <c r="AC8" s="47">
        <v>661868</v>
      </c>
      <c r="AD8" s="47">
        <v>728804</v>
      </c>
      <c r="AE8" s="47">
        <v>753837</v>
      </c>
      <c r="AF8" s="47">
        <v>879679</v>
      </c>
      <c r="AG8" s="47">
        <v>808558</v>
      </c>
      <c r="AH8" s="47">
        <v>685318</v>
      </c>
      <c r="AI8" s="47">
        <v>709521</v>
      </c>
      <c r="AJ8" s="47">
        <v>698203</v>
      </c>
      <c r="AL8" s="48">
        <f t="shared" si="0"/>
        <v>1.981587971354349E-2</v>
      </c>
      <c r="AM8" s="48">
        <f t="shared" si="1"/>
        <v>2.0056124091995121E-2</v>
      </c>
      <c r="AN8" s="48">
        <f t="shared" si="2"/>
        <v>1.4668516711458407E-2</v>
      </c>
    </row>
    <row r="9" spans="1:40" ht="13" x14ac:dyDescent="0.3">
      <c r="A9" s="46" t="s">
        <v>49</v>
      </c>
      <c r="B9" s="47">
        <v>2638903.19</v>
      </c>
      <c r="C9" s="47">
        <v>2130632.4799999995</v>
      </c>
      <c r="D9" s="47">
        <v>2362276.19</v>
      </c>
      <c r="E9" s="47">
        <v>2185349.1</v>
      </c>
      <c r="F9" s="47">
        <v>2456122.23</v>
      </c>
      <c r="G9" s="47">
        <v>2315733.29</v>
      </c>
      <c r="H9" s="47">
        <v>2310050.1500000004</v>
      </c>
      <c r="I9" s="47">
        <v>2453834.7399999998</v>
      </c>
      <c r="J9" s="47">
        <v>2340570.8199999998</v>
      </c>
      <c r="K9" s="47">
        <v>2389948.65</v>
      </c>
      <c r="L9" s="47">
        <v>2393256.66</v>
      </c>
      <c r="M9" s="47">
        <v>2092273.99</v>
      </c>
      <c r="N9" s="47">
        <v>2021386</v>
      </c>
      <c r="O9" s="47">
        <v>1815515</v>
      </c>
      <c r="P9" s="47">
        <v>2384954</v>
      </c>
      <c r="Q9" s="47">
        <v>2354959</v>
      </c>
      <c r="R9" s="47">
        <v>2730704</v>
      </c>
      <c r="S9" s="47">
        <v>2455688</v>
      </c>
      <c r="T9" s="47">
        <v>2651570</v>
      </c>
      <c r="U9" s="47">
        <v>2844053</v>
      </c>
      <c r="V9" s="47">
        <v>2721500</v>
      </c>
      <c r="W9" s="47">
        <v>2665134</v>
      </c>
      <c r="X9" s="47">
        <v>2569155</v>
      </c>
      <c r="Y9" s="47">
        <v>2566310</v>
      </c>
      <c r="Z9" s="47">
        <v>4178128</v>
      </c>
      <c r="AA9" s="47">
        <v>2592627</v>
      </c>
      <c r="AB9" s="47">
        <v>2778791</v>
      </c>
      <c r="AC9" s="47">
        <v>2582045</v>
      </c>
      <c r="AD9" s="47">
        <v>2988417</v>
      </c>
      <c r="AE9" s="47">
        <v>3065755</v>
      </c>
      <c r="AF9" s="47">
        <v>3022473</v>
      </c>
      <c r="AG9" s="47">
        <v>3246724</v>
      </c>
      <c r="AH9" s="47">
        <v>2955387</v>
      </c>
      <c r="AI9" s="47">
        <v>3159355</v>
      </c>
      <c r="AJ9" s="47">
        <v>2902271</v>
      </c>
      <c r="AL9" s="48">
        <f t="shared" si="0"/>
        <v>4.8890053680389962E-2</v>
      </c>
      <c r="AM9" s="48">
        <f t="shared" si="1"/>
        <v>5.166703481028781E-2</v>
      </c>
      <c r="AN9" s="48">
        <f t="shared" si="2"/>
        <v>6.2406007656991384E-2</v>
      </c>
    </row>
    <row r="10" spans="1:40" ht="13" x14ac:dyDescent="0.3">
      <c r="A10" s="46" t="s">
        <v>50</v>
      </c>
      <c r="B10" s="47">
        <v>6240960.0900000017</v>
      </c>
      <c r="C10" s="47">
        <v>3854626.8</v>
      </c>
      <c r="D10" s="47">
        <v>3930807.1800000006</v>
      </c>
      <c r="E10" s="47">
        <v>3836647.2800000007</v>
      </c>
      <c r="F10" s="47">
        <v>3996678.3099999996</v>
      </c>
      <c r="G10" s="47">
        <v>3755794.1300000004</v>
      </c>
      <c r="H10" s="47">
        <v>3989484.4099999992</v>
      </c>
      <c r="I10" s="47">
        <v>4629655.62</v>
      </c>
      <c r="J10" s="47">
        <v>6096421.9499999993</v>
      </c>
      <c r="K10" s="47">
        <v>4100409.94</v>
      </c>
      <c r="L10" s="47">
        <v>3444192.65</v>
      </c>
      <c r="M10" s="47">
        <v>3264247.060000001</v>
      </c>
      <c r="N10" s="47">
        <v>3446059</v>
      </c>
      <c r="O10" s="47">
        <v>2990359</v>
      </c>
      <c r="P10" s="47">
        <v>3217374</v>
      </c>
      <c r="Q10" s="47">
        <v>3111303</v>
      </c>
      <c r="R10" s="47">
        <v>3641917</v>
      </c>
      <c r="S10" s="47">
        <v>3493515</v>
      </c>
      <c r="T10" s="47">
        <v>3710012</v>
      </c>
      <c r="U10" s="47">
        <v>3763417</v>
      </c>
      <c r="V10" s="47">
        <v>3298293</v>
      </c>
      <c r="W10" s="47">
        <v>3349742</v>
      </c>
      <c r="X10" s="47">
        <v>3280951</v>
      </c>
      <c r="Y10" s="47">
        <v>3224568</v>
      </c>
      <c r="Z10" s="47">
        <v>3362970</v>
      </c>
      <c r="AA10" s="47">
        <v>3265469</v>
      </c>
      <c r="AB10" s="47">
        <v>3628652</v>
      </c>
      <c r="AC10" s="47">
        <v>3349904</v>
      </c>
      <c r="AD10" s="47">
        <v>3901850</v>
      </c>
      <c r="AE10" s="47">
        <v>3870676</v>
      </c>
      <c r="AF10" s="47">
        <v>4200402</v>
      </c>
      <c r="AG10" s="47">
        <v>4172439</v>
      </c>
      <c r="AH10" s="47">
        <v>3722302</v>
      </c>
      <c r="AI10" s="47">
        <v>3867468</v>
      </c>
      <c r="AJ10" s="47">
        <v>3703533</v>
      </c>
      <c r="AL10" s="48">
        <f t="shared" si="0"/>
        <v>8.9074709466282917E-2</v>
      </c>
      <c r="AM10" s="48">
        <f t="shared" si="1"/>
        <v>7.0311317026262157E-2</v>
      </c>
      <c r="AN10" s="48">
        <f t="shared" si="2"/>
        <v>7.6526593884271576E-2</v>
      </c>
    </row>
    <row r="11" spans="1:40" ht="13" x14ac:dyDescent="0.3">
      <c r="A11" s="46" t="s">
        <v>51</v>
      </c>
      <c r="B11" s="47">
        <v>872946.78999999992</v>
      </c>
      <c r="C11" s="47">
        <v>706778.45</v>
      </c>
      <c r="D11" s="47">
        <v>712021.51</v>
      </c>
      <c r="E11" s="47">
        <v>756150.40000000014</v>
      </c>
      <c r="F11" s="47">
        <v>937409.43</v>
      </c>
      <c r="G11" s="47">
        <v>826030.48</v>
      </c>
      <c r="H11" s="47">
        <v>857113.12999999989</v>
      </c>
      <c r="I11" s="47">
        <v>906650.06</v>
      </c>
      <c r="J11" s="47">
        <v>901679.5</v>
      </c>
      <c r="K11" s="47">
        <v>852364.57000000007</v>
      </c>
      <c r="L11" s="47">
        <v>815892.44</v>
      </c>
      <c r="M11" s="47">
        <v>726222.22999999986</v>
      </c>
      <c r="N11" s="47">
        <v>781266</v>
      </c>
      <c r="O11" s="47">
        <v>675542</v>
      </c>
      <c r="P11" s="47">
        <v>726185</v>
      </c>
      <c r="Q11" s="47">
        <v>721337</v>
      </c>
      <c r="R11" s="47">
        <v>901684</v>
      </c>
      <c r="S11" s="47">
        <v>824699</v>
      </c>
      <c r="T11" s="47">
        <v>3891361</v>
      </c>
      <c r="U11" s="47">
        <v>4757218</v>
      </c>
      <c r="V11" s="47">
        <v>2844728</v>
      </c>
      <c r="W11" s="47">
        <v>3291133</v>
      </c>
      <c r="X11" s="47">
        <v>760241</v>
      </c>
      <c r="Y11" s="47">
        <v>688610</v>
      </c>
      <c r="Z11" s="47">
        <v>704125</v>
      </c>
      <c r="AA11" s="47">
        <v>678989</v>
      </c>
      <c r="AB11" s="47">
        <v>771646</v>
      </c>
      <c r="AC11" s="47">
        <v>703322</v>
      </c>
      <c r="AD11" s="47">
        <v>881803</v>
      </c>
      <c r="AE11" s="47">
        <v>806286</v>
      </c>
      <c r="AF11" s="47">
        <v>889515</v>
      </c>
      <c r="AG11" s="47">
        <v>893413</v>
      </c>
      <c r="AH11" s="47">
        <v>813607</v>
      </c>
      <c r="AI11" s="47">
        <v>825976</v>
      </c>
      <c r="AJ11" s="47">
        <v>796218</v>
      </c>
      <c r="AL11" s="48">
        <f t="shared" si="0"/>
        <v>1.7193602051222615E-2</v>
      </c>
      <c r="AM11" s="48">
        <f t="shared" si="1"/>
        <v>3.6197032575680119E-2</v>
      </c>
      <c r="AN11" s="48">
        <f t="shared" si="2"/>
        <v>1.6341505070907047E-2</v>
      </c>
    </row>
    <row r="12" spans="1:40" ht="13" x14ac:dyDescent="0.3">
      <c r="A12" s="46" t="s">
        <v>52</v>
      </c>
      <c r="B12" s="47">
        <v>1791238.85</v>
      </c>
      <c r="C12" s="47">
        <v>1504873.62</v>
      </c>
      <c r="D12" s="47">
        <v>1652814.3099999998</v>
      </c>
      <c r="E12" s="47">
        <v>1623362.75</v>
      </c>
      <c r="F12" s="47">
        <v>1768056.72</v>
      </c>
      <c r="G12" s="47">
        <v>1645809.68</v>
      </c>
      <c r="H12" s="47">
        <v>1760411.2999999998</v>
      </c>
      <c r="I12" s="47">
        <v>2007352</v>
      </c>
      <c r="J12" s="47">
        <v>1847730.38</v>
      </c>
      <c r="K12" s="47">
        <v>1769224.01</v>
      </c>
      <c r="L12" s="47">
        <v>1644566.46</v>
      </c>
      <c r="M12" s="47">
        <v>1513432.57</v>
      </c>
      <c r="N12" s="47">
        <v>1582274</v>
      </c>
      <c r="O12" s="47">
        <v>1371778</v>
      </c>
      <c r="P12" s="47">
        <v>1509153</v>
      </c>
      <c r="Q12" s="47">
        <v>1506251</v>
      </c>
      <c r="R12" s="47">
        <v>1824242</v>
      </c>
      <c r="S12" s="47">
        <v>1715501</v>
      </c>
      <c r="T12" s="47">
        <v>1816194</v>
      </c>
      <c r="U12" s="47">
        <v>1874405</v>
      </c>
      <c r="V12" s="47">
        <v>1817790</v>
      </c>
      <c r="W12" s="47">
        <v>1808591</v>
      </c>
      <c r="X12" s="47">
        <v>1658207</v>
      </c>
      <c r="Y12" s="47">
        <v>1521378</v>
      </c>
      <c r="Z12" s="47">
        <v>1547268</v>
      </c>
      <c r="AA12" s="47">
        <v>1547945</v>
      </c>
      <c r="AB12" s="47">
        <v>1747657</v>
      </c>
      <c r="AC12" s="47">
        <v>1602953</v>
      </c>
      <c r="AD12" s="47">
        <v>1939499</v>
      </c>
      <c r="AE12" s="47">
        <v>1888449</v>
      </c>
      <c r="AF12" s="47">
        <v>1942871</v>
      </c>
      <c r="AG12" s="47">
        <v>2079741</v>
      </c>
      <c r="AH12" s="47">
        <v>1763393</v>
      </c>
      <c r="AI12" s="47">
        <v>1815562</v>
      </c>
      <c r="AJ12" s="47">
        <v>1781125</v>
      </c>
      <c r="AL12" s="48">
        <f t="shared" si="0"/>
        <v>3.5756864171216304E-2</v>
      </c>
      <c r="AM12" s="48">
        <f t="shared" si="1"/>
        <v>3.4708069036478738E-2</v>
      </c>
      <c r="AN12" s="48">
        <f t="shared" si="2"/>
        <v>3.6648015355634035E-2</v>
      </c>
    </row>
    <row r="13" spans="1:40" ht="13" x14ac:dyDescent="0.3">
      <c r="A13" s="46" t="s">
        <v>53</v>
      </c>
      <c r="B13" s="47">
        <v>1141140.8199999998</v>
      </c>
      <c r="C13" s="47">
        <v>783608.63000000012</v>
      </c>
      <c r="D13" s="47">
        <v>965877.6</v>
      </c>
      <c r="E13" s="47">
        <v>1046100.79</v>
      </c>
      <c r="F13" s="47">
        <v>1156516.8500000001</v>
      </c>
      <c r="G13" s="47">
        <v>1095017.8</v>
      </c>
      <c r="H13" s="47">
        <v>1244439.32</v>
      </c>
      <c r="I13" s="47">
        <v>1282463.83</v>
      </c>
      <c r="J13" s="47">
        <v>1141856.9300000002</v>
      </c>
      <c r="K13" s="47">
        <v>1132135.25</v>
      </c>
      <c r="L13" s="47">
        <v>1038541.4</v>
      </c>
      <c r="M13" s="47">
        <v>967056.31</v>
      </c>
      <c r="N13" s="47">
        <v>957671</v>
      </c>
      <c r="O13" s="47">
        <v>875468</v>
      </c>
      <c r="P13" s="47">
        <v>990820</v>
      </c>
      <c r="Q13" s="47">
        <v>1031803</v>
      </c>
      <c r="R13" s="47">
        <v>1202993</v>
      </c>
      <c r="S13" s="47">
        <v>1139848</v>
      </c>
      <c r="T13" s="47">
        <v>1335850</v>
      </c>
      <c r="U13" s="47">
        <v>1349808</v>
      </c>
      <c r="V13" s="47">
        <v>1156597</v>
      </c>
      <c r="W13" s="47">
        <v>1194540</v>
      </c>
      <c r="X13" s="47">
        <v>1063835</v>
      </c>
      <c r="Y13" s="47">
        <v>1004779</v>
      </c>
      <c r="Z13" s="47">
        <v>973554</v>
      </c>
      <c r="AA13" s="47">
        <v>936723</v>
      </c>
      <c r="AB13" s="47">
        <v>1002370</v>
      </c>
      <c r="AC13" s="47">
        <v>1028694</v>
      </c>
      <c r="AD13" s="47">
        <v>1249340</v>
      </c>
      <c r="AE13" s="47">
        <v>1308978</v>
      </c>
      <c r="AF13" s="47">
        <v>1503475</v>
      </c>
      <c r="AG13" s="47">
        <v>1377952</v>
      </c>
      <c r="AH13" s="47">
        <v>1160642</v>
      </c>
      <c r="AI13" s="47">
        <v>1256813</v>
      </c>
      <c r="AJ13" s="47">
        <v>1164925</v>
      </c>
      <c r="AL13" s="48">
        <f t="shared" si="0"/>
        <v>2.2634058691204943E-2</v>
      </c>
      <c r="AM13" s="48">
        <f t="shared" si="1"/>
        <v>2.308117635288218E-2</v>
      </c>
      <c r="AN13" s="48">
        <f t="shared" si="2"/>
        <v>2.4169419545634417E-2</v>
      </c>
    </row>
    <row r="14" spans="1:40" ht="13" x14ac:dyDescent="0.3">
      <c r="A14" s="46" t="s">
        <v>54</v>
      </c>
      <c r="B14" s="47">
        <v>7001347.5999999987</v>
      </c>
      <c r="C14" s="47">
        <v>7318194.5300000003</v>
      </c>
      <c r="D14" s="47">
        <v>7742351.9200000009</v>
      </c>
      <c r="E14" s="47">
        <v>6086265.9300000006</v>
      </c>
      <c r="F14" s="47">
        <v>6711169.3899999997</v>
      </c>
      <c r="G14" s="47">
        <v>6231821.6900000004</v>
      </c>
      <c r="H14" s="47">
        <v>6689733.3900000006</v>
      </c>
      <c r="I14" s="47">
        <v>7366448.7699999996</v>
      </c>
      <c r="J14" s="47">
        <v>7150013.8900000006</v>
      </c>
      <c r="K14" s="47">
        <v>6979176.5200000014</v>
      </c>
      <c r="L14" s="47">
        <v>7129419.2400000002</v>
      </c>
      <c r="M14" s="47">
        <v>6278716.919999999</v>
      </c>
      <c r="N14" s="47">
        <v>6279732</v>
      </c>
      <c r="O14" s="47">
        <v>7440238</v>
      </c>
      <c r="P14" s="47">
        <v>9107006</v>
      </c>
      <c r="Q14" s="47">
        <v>7637308</v>
      </c>
      <c r="R14" s="47">
        <v>7465819</v>
      </c>
      <c r="S14" s="47">
        <v>6343930</v>
      </c>
      <c r="T14" s="47">
        <v>6239532</v>
      </c>
      <c r="U14" s="47">
        <v>6802015</v>
      </c>
      <c r="V14" s="47">
        <v>6606556</v>
      </c>
      <c r="W14" s="47">
        <v>6561088</v>
      </c>
      <c r="X14" s="47">
        <v>6152399</v>
      </c>
      <c r="Y14" s="47">
        <v>5886806</v>
      </c>
      <c r="Z14" s="47">
        <v>5757577</v>
      </c>
      <c r="AA14" s="47">
        <v>5506604</v>
      </c>
      <c r="AB14" s="47">
        <v>5808326</v>
      </c>
      <c r="AC14" s="47">
        <v>5702559</v>
      </c>
      <c r="AD14" s="47">
        <v>6505361</v>
      </c>
      <c r="AE14" s="47">
        <v>6224929</v>
      </c>
      <c r="AF14" s="47">
        <v>6345638</v>
      </c>
      <c r="AG14" s="47">
        <v>6517325</v>
      </c>
      <c r="AH14" s="47">
        <v>6176380</v>
      </c>
      <c r="AI14" s="47">
        <v>6412604</v>
      </c>
      <c r="AJ14" s="47">
        <v>6177936</v>
      </c>
      <c r="AL14" s="48">
        <f t="shared" si="0"/>
        <v>0.14401882653572115</v>
      </c>
      <c r="AM14" s="48">
        <f t="shared" si="1"/>
        <v>0.14316844699307235</v>
      </c>
      <c r="AN14" s="48">
        <f t="shared" si="2"/>
        <v>0.12516866690493406</v>
      </c>
    </row>
    <row r="15" spans="1:40" ht="13" x14ac:dyDescent="0.3">
      <c r="A15" s="46" t="s">
        <v>55</v>
      </c>
      <c r="B15" s="47">
        <v>1300110.31</v>
      </c>
      <c r="C15" s="47">
        <v>1294880.72</v>
      </c>
      <c r="D15" s="47">
        <v>1027963.69</v>
      </c>
      <c r="E15" s="47">
        <v>872262.54</v>
      </c>
      <c r="F15" s="47">
        <v>959300.81</v>
      </c>
      <c r="G15" s="47">
        <v>856679.67999999993</v>
      </c>
      <c r="H15" s="47">
        <v>944802.60000000009</v>
      </c>
      <c r="I15" s="47">
        <v>1004309.5099999999</v>
      </c>
      <c r="J15" s="47">
        <v>915336.10000000009</v>
      </c>
      <c r="K15" s="47">
        <v>842572.6399999999</v>
      </c>
      <c r="L15" s="47">
        <v>825741.49900000007</v>
      </c>
      <c r="M15" s="47">
        <v>757403.13</v>
      </c>
      <c r="N15" s="47">
        <v>816300</v>
      </c>
      <c r="O15" s="47">
        <v>662006</v>
      </c>
      <c r="P15" s="47">
        <v>726672</v>
      </c>
      <c r="Q15" s="47">
        <v>735375</v>
      </c>
      <c r="R15" s="47">
        <v>808825</v>
      </c>
      <c r="S15" s="47">
        <v>736550</v>
      </c>
      <c r="T15" s="47">
        <v>822298</v>
      </c>
      <c r="U15" s="47">
        <v>832582</v>
      </c>
      <c r="V15" s="47">
        <v>710292</v>
      </c>
      <c r="W15" s="47">
        <v>702705</v>
      </c>
      <c r="X15" s="47">
        <v>645793</v>
      </c>
      <c r="Y15" s="47">
        <v>664030</v>
      </c>
      <c r="Z15" s="47">
        <v>690342</v>
      </c>
      <c r="AA15" s="47">
        <v>648717</v>
      </c>
      <c r="AB15" s="47">
        <v>677186</v>
      </c>
      <c r="AC15" s="47">
        <v>628862</v>
      </c>
      <c r="AD15" s="47">
        <v>720965</v>
      </c>
      <c r="AE15" s="47">
        <v>748069</v>
      </c>
      <c r="AF15" s="47">
        <v>837326</v>
      </c>
      <c r="AG15" s="47">
        <v>803789</v>
      </c>
      <c r="AH15" s="47">
        <v>712586</v>
      </c>
      <c r="AI15" s="47">
        <v>724258</v>
      </c>
      <c r="AJ15" s="47">
        <v>700873</v>
      </c>
      <c r="AL15" s="48">
        <f t="shared" si="0"/>
        <v>2.0207070122786133E-2</v>
      </c>
      <c r="AM15" s="48">
        <f t="shared" si="1"/>
        <v>1.5377191839504789E-2</v>
      </c>
      <c r="AN15" s="48">
        <f t="shared" si="2"/>
        <v>1.4715861938417141E-2</v>
      </c>
    </row>
    <row r="16" spans="1:40" ht="13" x14ac:dyDescent="0.3">
      <c r="A16" s="46" t="s">
        <v>56</v>
      </c>
      <c r="B16" s="47">
        <v>2079005.02</v>
      </c>
      <c r="C16" s="47">
        <v>1684579.82</v>
      </c>
      <c r="D16" s="47">
        <v>1872909.83</v>
      </c>
      <c r="E16" s="47">
        <v>1696749.32</v>
      </c>
      <c r="F16" s="47">
        <v>2057276.51</v>
      </c>
      <c r="G16" s="47">
        <v>1971186.3499999999</v>
      </c>
      <c r="H16" s="47">
        <v>2142767.08</v>
      </c>
      <c r="I16" s="47">
        <v>2252979.34</v>
      </c>
      <c r="J16" s="47">
        <v>2189508.73</v>
      </c>
      <c r="K16" s="47">
        <v>2143000.8200000003</v>
      </c>
      <c r="L16" s="47">
        <v>1966935.3299999996</v>
      </c>
      <c r="M16" s="47">
        <v>1831279.8499999999</v>
      </c>
      <c r="N16" s="47">
        <v>1899014</v>
      </c>
      <c r="O16" s="47">
        <v>1637155</v>
      </c>
      <c r="P16" s="47">
        <v>1789877</v>
      </c>
      <c r="Q16" s="47">
        <v>1774246</v>
      </c>
      <c r="R16" s="47">
        <v>2084426</v>
      </c>
      <c r="S16" s="47">
        <v>2036381</v>
      </c>
      <c r="T16" s="47">
        <v>2096959</v>
      </c>
      <c r="U16" s="47">
        <v>2256447</v>
      </c>
      <c r="V16" s="47">
        <v>2097250</v>
      </c>
      <c r="W16" s="47">
        <v>1980626</v>
      </c>
      <c r="X16" s="47">
        <v>1895852</v>
      </c>
      <c r="Y16" s="47">
        <v>1840144</v>
      </c>
      <c r="Z16" s="47">
        <v>1859484</v>
      </c>
      <c r="AA16" s="47">
        <v>1801093</v>
      </c>
      <c r="AB16" s="47">
        <v>1958735</v>
      </c>
      <c r="AC16" s="47">
        <v>1684219</v>
      </c>
      <c r="AD16" s="47">
        <v>2068430</v>
      </c>
      <c r="AE16" s="47">
        <v>2043761</v>
      </c>
      <c r="AF16" s="47">
        <v>2151612</v>
      </c>
      <c r="AG16" s="47">
        <v>2155702</v>
      </c>
      <c r="AH16" s="47">
        <v>1963595</v>
      </c>
      <c r="AI16" s="47">
        <v>1998617</v>
      </c>
      <c r="AJ16" s="47">
        <v>1952140</v>
      </c>
      <c r="AL16" s="48">
        <f t="shared" si="0"/>
        <v>4.1608048849376904E-2</v>
      </c>
      <c r="AM16" s="48">
        <f t="shared" si="1"/>
        <v>4.0576576009153736E-2</v>
      </c>
      <c r="AN16" s="48">
        <f t="shared" si="2"/>
        <v>4.0341302892581012E-2</v>
      </c>
    </row>
    <row r="17" spans="1:40" ht="13" x14ac:dyDescent="0.3">
      <c r="A17" s="46" t="s">
        <v>57</v>
      </c>
      <c r="B17" s="47">
        <v>1550436</v>
      </c>
      <c r="C17" s="47">
        <v>1142195.1200000001</v>
      </c>
      <c r="D17" s="47">
        <v>1230037</v>
      </c>
      <c r="E17" s="47">
        <v>1106294.28</v>
      </c>
      <c r="F17" s="47">
        <v>1252687.72</v>
      </c>
      <c r="G17" s="47">
        <v>1191115.5</v>
      </c>
      <c r="H17" s="47">
        <v>1268417.2100000002</v>
      </c>
      <c r="I17" s="47">
        <v>1289725.98</v>
      </c>
      <c r="J17" s="47">
        <v>1309661.32</v>
      </c>
      <c r="K17" s="47">
        <v>1254595.23</v>
      </c>
      <c r="L17" s="47">
        <v>1211225.73</v>
      </c>
      <c r="M17" s="47">
        <v>1128013.02</v>
      </c>
      <c r="N17" s="47">
        <v>1262735</v>
      </c>
      <c r="O17" s="47">
        <v>1070855</v>
      </c>
      <c r="P17" s="47">
        <v>1171393</v>
      </c>
      <c r="Q17" s="47">
        <v>1159676</v>
      </c>
      <c r="R17" s="47">
        <v>1326923</v>
      </c>
      <c r="S17" s="47">
        <v>1231602</v>
      </c>
      <c r="T17" s="47">
        <v>1267222</v>
      </c>
      <c r="U17" s="47">
        <v>1362541</v>
      </c>
      <c r="V17" s="47">
        <v>1248184</v>
      </c>
      <c r="W17" s="47">
        <v>1340849</v>
      </c>
      <c r="X17" s="47">
        <v>1091182</v>
      </c>
      <c r="Y17" s="47">
        <v>1266836</v>
      </c>
      <c r="Z17" s="47">
        <v>1207661</v>
      </c>
      <c r="AA17" s="47">
        <v>1242741</v>
      </c>
      <c r="AB17" s="47">
        <v>1355735</v>
      </c>
      <c r="AC17" s="47">
        <v>1206504</v>
      </c>
      <c r="AD17" s="47">
        <v>1566576</v>
      </c>
      <c r="AE17" s="47">
        <v>1439217</v>
      </c>
      <c r="AF17" s="47">
        <v>1525965</v>
      </c>
      <c r="AG17" s="47">
        <v>1586962</v>
      </c>
      <c r="AH17" s="47">
        <v>1433028</v>
      </c>
      <c r="AI17" s="47">
        <v>1505445</v>
      </c>
      <c r="AJ17" s="47">
        <v>1428076</v>
      </c>
      <c r="AL17" s="48">
        <f t="shared" si="0"/>
        <v>2.6012507766193606E-2</v>
      </c>
      <c r="AM17" s="48">
        <f t="shared" si="1"/>
        <v>2.5676567629396574E-2</v>
      </c>
      <c r="AN17" s="48">
        <f t="shared" si="2"/>
        <v>2.8894702147595642E-2</v>
      </c>
    </row>
    <row r="18" spans="1:40" x14ac:dyDescent="0.25">
      <c r="AL18" s="49">
        <f>SUM(AL3:AL17)</f>
        <v>0.99999999999999867</v>
      </c>
      <c r="AM18" s="49">
        <f>SUM(AM3:AM17)</f>
        <v>1</v>
      </c>
      <c r="AN18" s="49">
        <f>SUM(AN3:AN17)</f>
        <v>1</v>
      </c>
    </row>
    <row r="19" spans="1:40" ht="13" x14ac:dyDescent="0.3">
      <c r="N19" s="153" t="s">
        <v>58</v>
      </c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3" t="s">
        <v>59</v>
      </c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5"/>
      <c r="AL19" s="50">
        <f>SUM(B3:M17)</f>
        <v>574123965.44900072</v>
      </c>
      <c r="AM19" s="50">
        <f>SUM(N3:Y17)</f>
        <v>576400951</v>
      </c>
      <c r="AN19" s="50">
        <f>SUM(Z3:AK17)</f>
        <v>536358185</v>
      </c>
    </row>
    <row r="20" spans="1:40" ht="13" x14ac:dyDescent="0.3">
      <c r="A20" s="51" t="s">
        <v>60</v>
      </c>
      <c r="N20" s="44">
        <v>1</v>
      </c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</v>
      </c>
      <c r="AA20" s="44">
        <v>2</v>
      </c>
      <c r="AB20" s="44">
        <v>3</v>
      </c>
      <c r="AC20" s="44">
        <v>4</v>
      </c>
      <c r="AD20" s="44">
        <v>5</v>
      </c>
      <c r="AE20" s="44">
        <v>6</v>
      </c>
      <c r="AF20" s="44">
        <v>7</v>
      </c>
      <c r="AG20" s="44">
        <v>8</v>
      </c>
      <c r="AH20" s="44">
        <v>9</v>
      </c>
      <c r="AI20" s="44">
        <v>10</v>
      </c>
      <c r="AJ20" s="44">
        <v>11</v>
      </c>
      <c r="AK20" s="44">
        <v>12</v>
      </c>
    </row>
    <row r="21" spans="1:40" ht="13" x14ac:dyDescent="0.3">
      <c r="A21" s="51" t="s">
        <v>43</v>
      </c>
      <c r="N21" s="52">
        <f t="shared" ref="N21:Y35" si="3">(N3-B3)</f>
        <v>-1753478.3200000003</v>
      </c>
      <c r="O21" s="52">
        <f t="shared" si="3"/>
        <v>-99523.470000002533</v>
      </c>
      <c r="P21" s="52">
        <f t="shared" si="3"/>
        <v>638087.56999999285</v>
      </c>
      <c r="Q21" s="52">
        <f t="shared" si="3"/>
        <v>-185067.47000000253</v>
      </c>
      <c r="R21" s="52">
        <f t="shared" si="3"/>
        <v>548604.95999999717</v>
      </c>
      <c r="S21" s="52">
        <f t="shared" si="3"/>
        <v>913940.43000000343</v>
      </c>
      <c r="T21" s="52">
        <f t="shared" si="3"/>
        <v>174559.31000000238</v>
      </c>
      <c r="U21" s="52">
        <f t="shared" si="3"/>
        <v>449085.17000000179</v>
      </c>
      <c r="V21" s="52">
        <f t="shared" si="3"/>
        <v>482506.00999999791</v>
      </c>
      <c r="W21" s="52">
        <f t="shared" si="3"/>
        <v>-132364.62000000104</v>
      </c>
      <c r="X21" s="52">
        <f t="shared" si="3"/>
        <v>502655.83999999985</v>
      </c>
      <c r="Y21" s="52">
        <f t="shared" ref="Y21:AD21" si="4">(Y3-M3)</f>
        <v>825180.80000000075</v>
      </c>
      <c r="Z21" s="52">
        <f t="shared" si="4"/>
        <v>386764</v>
      </c>
      <c r="AA21" s="52">
        <f t="shared" si="4"/>
        <v>1815328</v>
      </c>
      <c r="AB21" s="52">
        <f t="shared" si="4"/>
        <v>457738</v>
      </c>
      <c r="AC21" s="52">
        <f t="shared" si="4"/>
        <v>836196</v>
      </c>
      <c r="AD21" s="52">
        <f t="shared" si="4"/>
        <v>565310</v>
      </c>
      <c r="AE21" s="52">
        <f t="shared" ref="AE21:AJ21" si="5">(AE3-S3)</f>
        <v>1728371</v>
      </c>
      <c r="AF21" s="52">
        <f t="shared" si="5"/>
        <v>1505046</v>
      </c>
      <c r="AG21" s="52">
        <f t="shared" si="5"/>
        <v>2977315</v>
      </c>
      <c r="AH21" s="52">
        <f t="shared" si="5"/>
        <v>22736</v>
      </c>
      <c r="AI21" s="52">
        <f t="shared" si="5"/>
        <v>871746</v>
      </c>
      <c r="AJ21" s="52">
        <f t="shared" si="5"/>
        <v>1522932</v>
      </c>
      <c r="AK21" s="53"/>
    </row>
    <row r="22" spans="1:40" ht="13" x14ac:dyDescent="0.3">
      <c r="A22" s="51" t="s">
        <v>44</v>
      </c>
      <c r="N22" s="52">
        <f t="shared" si="3"/>
        <v>-37299.119999999995</v>
      </c>
      <c r="O22" s="52">
        <f t="shared" si="3"/>
        <v>18794.209999999992</v>
      </c>
      <c r="P22" s="52">
        <f t="shared" si="3"/>
        <v>-4080.5599999999977</v>
      </c>
      <c r="Q22" s="52">
        <f t="shared" si="3"/>
        <v>13063.75</v>
      </c>
      <c r="R22" s="52">
        <f t="shared" si="3"/>
        <v>18667.130000000063</v>
      </c>
      <c r="S22" s="52">
        <f t="shared" si="3"/>
        <v>-29486.309999999998</v>
      </c>
      <c r="T22" s="52">
        <f t="shared" si="3"/>
        <v>-17201.450000000012</v>
      </c>
      <c r="U22" s="52">
        <f t="shared" si="3"/>
        <v>-15006.469999999972</v>
      </c>
      <c r="V22" s="52">
        <f t="shared" si="3"/>
        <v>21475.75</v>
      </c>
      <c r="W22" s="52">
        <f t="shared" si="3"/>
        <v>-6606.5200000000186</v>
      </c>
      <c r="X22" s="52">
        <f t="shared" si="3"/>
        <v>-29681.5</v>
      </c>
      <c r="Y22" s="52">
        <f t="shared" si="3"/>
        <v>-1870.3800000000047</v>
      </c>
      <c r="Z22" s="52">
        <f t="shared" ref="Z22:Z35" si="6">(Z4-N4)</f>
        <v>33134</v>
      </c>
      <c r="AA22" s="52">
        <f t="shared" ref="AA22:AA35" si="7">(AA4-O4)</f>
        <v>61523</v>
      </c>
      <c r="AB22" s="52">
        <f t="shared" ref="AB22:AB35" si="8">(AB4-P4)</f>
        <v>24042</v>
      </c>
      <c r="AC22" s="52">
        <f t="shared" ref="AC22:AC35" si="9">(AC4-Q4)</f>
        <v>101238</v>
      </c>
      <c r="AD22" s="52">
        <f t="shared" ref="AD22:AD35" si="10">(AD4-R4)</f>
        <v>444833</v>
      </c>
      <c r="AE22" s="52">
        <f t="shared" ref="AE22:AJ22" si="11">(AE4-S4)</f>
        <v>115801</v>
      </c>
      <c r="AF22" s="52">
        <f t="shared" si="11"/>
        <v>164203</v>
      </c>
      <c r="AG22" s="52">
        <f t="shared" si="11"/>
        <v>140903</v>
      </c>
      <c r="AH22" s="52">
        <f t="shared" si="11"/>
        <v>86879</v>
      </c>
      <c r="AI22" s="52">
        <f t="shared" si="11"/>
        <v>169672</v>
      </c>
      <c r="AJ22" s="52">
        <f t="shared" si="11"/>
        <v>79915</v>
      </c>
      <c r="AK22" s="53"/>
    </row>
    <row r="23" spans="1:40" ht="13" x14ac:dyDescent="0.3">
      <c r="A23" s="51" t="s">
        <v>45</v>
      </c>
      <c r="N23" s="52">
        <f t="shared" si="3"/>
        <v>-234605.81000000006</v>
      </c>
      <c r="O23" s="52">
        <f t="shared" si="3"/>
        <v>-95604.579999999609</v>
      </c>
      <c r="P23" s="52">
        <f t="shared" si="3"/>
        <v>168089.62000000011</v>
      </c>
      <c r="Q23" s="52">
        <f t="shared" si="3"/>
        <v>86643.980000000447</v>
      </c>
      <c r="R23" s="52">
        <f t="shared" si="3"/>
        <v>267235.62999999989</v>
      </c>
      <c r="S23" s="52">
        <f t="shared" si="3"/>
        <v>153816.63999999966</v>
      </c>
      <c r="T23" s="52">
        <f t="shared" si="3"/>
        <v>263394.39000000013</v>
      </c>
      <c r="U23" s="52">
        <f t="shared" si="3"/>
        <v>223254.5</v>
      </c>
      <c r="V23" s="52">
        <f t="shared" si="3"/>
        <v>177078.27000000048</v>
      </c>
      <c r="W23" s="52">
        <f t="shared" si="3"/>
        <v>289692</v>
      </c>
      <c r="X23" s="52">
        <f t="shared" si="3"/>
        <v>-387220.86000000034</v>
      </c>
      <c r="Y23" s="52">
        <f t="shared" si="3"/>
        <v>-251734.38000000035</v>
      </c>
      <c r="Z23" s="52">
        <f t="shared" si="6"/>
        <v>-273165</v>
      </c>
      <c r="AA23" s="52">
        <f t="shared" si="7"/>
        <v>49314</v>
      </c>
      <c r="AB23" s="52">
        <f t="shared" si="8"/>
        <v>-273785</v>
      </c>
      <c r="AC23" s="52">
        <f t="shared" si="9"/>
        <v>-221196</v>
      </c>
      <c r="AD23" s="52">
        <f t="shared" si="10"/>
        <v>-314735</v>
      </c>
      <c r="AE23" s="52">
        <f t="shared" ref="AE23:AJ23" si="12">(AE5-S5)</f>
        <v>-130176</v>
      </c>
      <c r="AF23" s="52">
        <f t="shared" si="12"/>
        <v>-260098</v>
      </c>
      <c r="AG23" s="52">
        <f t="shared" si="12"/>
        <v>-349184</v>
      </c>
      <c r="AH23" s="52">
        <f t="shared" si="12"/>
        <v>-467305</v>
      </c>
      <c r="AI23" s="52">
        <f t="shared" si="12"/>
        <v>-303879</v>
      </c>
      <c r="AJ23" s="52">
        <f t="shared" si="12"/>
        <v>7644</v>
      </c>
      <c r="AK23" s="53"/>
    </row>
    <row r="24" spans="1:40" ht="13" x14ac:dyDescent="0.3">
      <c r="A24" s="51" t="s">
        <v>46</v>
      </c>
      <c r="N24" s="52">
        <f t="shared" si="3"/>
        <v>-149962.45000000019</v>
      </c>
      <c r="O24" s="52">
        <f t="shared" si="3"/>
        <v>-183285.28000000003</v>
      </c>
      <c r="P24" s="52">
        <f t="shared" si="3"/>
        <v>44207.570000000065</v>
      </c>
      <c r="Q24" s="52">
        <f t="shared" si="3"/>
        <v>64278.689999999944</v>
      </c>
      <c r="R24" s="52">
        <f t="shared" si="3"/>
        <v>490089.60999999987</v>
      </c>
      <c r="S24" s="52">
        <f t="shared" si="3"/>
        <v>51402.350000000093</v>
      </c>
      <c r="T24" s="52">
        <f t="shared" si="3"/>
        <v>40871.110000000335</v>
      </c>
      <c r="U24" s="52">
        <f t="shared" si="3"/>
        <v>178029.40999999968</v>
      </c>
      <c r="V24" s="52">
        <f t="shared" si="3"/>
        <v>57314.120000000112</v>
      </c>
      <c r="W24" s="52">
        <f t="shared" si="3"/>
        <v>48511.770000000019</v>
      </c>
      <c r="X24" s="52">
        <f t="shared" si="3"/>
        <v>-65311.660000000149</v>
      </c>
      <c r="Y24" s="52">
        <f t="shared" si="3"/>
        <v>-30624.379999999655</v>
      </c>
      <c r="Z24" s="52">
        <f t="shared" si="6"/>
        <v>-22471</v>
      </c>
      <c r="AA24" s="52">
        <f t="shared" si="7"/>
        <v>150546</v>
      </c>
      <c r="AB24" s="52">
        <f t="shared" si="8"/>
        <v>169069</v>
      </c>
      <c r="AC24" s="52">
        <f t="shared" si="9"/>
        <v>2954</v>
      </c>
      <c r="AD24" s="52">
        <f t="shared" si="10"/>
        <v>-90725</v>
      </c>
      <c r="AE24" s="52">
        <f t="shared" ref="AE24:AJ24" si="13">(AE6-S6)</f>
        <v>207827</v>
      </c>
      <c r="AF24" s="52">
        <f t="shared" si="13"/>
        <v>193274</v>
      </c>
      <c r="AG24" s="52">
        <f t="shared" si="13"/>
        <v>12089</v>
      </c>
      <c r="AH24" s="52">
        <f t="shared" si="13"/>
        <v>-9580</v>
      </c>
      <c r="AI24" s="52">
        <f t="shared" si="13"/>
        <v>283491</v>
      </c>
      <c r="AJ24" s="52">
        <f t="shared" si="13"/>
        <v>330852</v>
      </c>
      <c r="AK24" s="53"/>
    </row>
    <row r="25" spans="1:40" ht="13" x14ac:dyDescent="0.3">
      <c r="A25" s="51" t="s">
        <v>47</v>
      </c>
      <c r="N25" s="52">
        <f t="shared" si="3"/>
        <v>12669.229999999981</v>
      </c>
      <c r="O25" s="52">
        <f t="shared" si="3"/>
        <v>-158622.3899999999</v>
      </c>
      <c r="P25" s="52">
        <f t="shared" si="3"/>
        <v>29231.410000000149</v>
      </c>
      <c r="Q25" s="52">
        <f t="shared" si="3"/>
        <v>-59016.84999999986</v>
      </c>
      <c r="R25" s="52">
        <f t="shared" si="3"/>
        <v>97966.379999999888</v>
      </c>
      <c r="S25" s="52">
        <f t="shared" si="3"/>
        <v>98115.070000000065</v>
      </c>
      <c r="T25" s="52">
        <f t="shared" si="3"/>
        <v>101514.69999999972</v>
      </c>
      <c r="U25" s="52">
        <f t="shared" si="3"/>
        <v>253754.65999999992</v>
      </c>
      <c r="V25" s="52">
        <f t="shared" si="3"/>
        <v>17504.240000000224</v>
      </c>
      <c r="W25" s="52">
        <f t="shared" si="3"/>
        <v>-72608.969999999972</v>
      </c>
      <c r="X25" s="52">
        <f t="shared" si="3"/>
        <v>-53325.520000000019</v>
      </c>
      <c r="Y25" s="52">
        <f t="shared" si="3"/>
        <v>-18389.759999999776</v>
      </c>
      <c r="Z25" s="52">
        <f t="shared" si="6"/>
        <v>-155467</v>
      </c>
      <c r="AA25" s="52">
        <f t="shared" si="7"/>
        <v>74092</v>
      </c>
      <c r="AB25" s="52">
        <f t="shared" si="8"/>
        <v>207280</v>
      </c>
      <c r="AC25" s="52">
        <f t="shared" si="9"/>
        <v>84770</v>
      </c>
      <c r="AD25" s="52">
        <f t="shared" si="10"/>
        <v>81137</v>
      </c>
      <c r="AE25" s="52">
        <f t="shared" ref="AE25:AJ25" si="14">(AE7-S7)</f>
        <v>284059</v>
      </c>
      <c r="AF25" s="52">
        <f t="shared" si="14"/>
        <v>249708</v>
      </c>
      <c r="AG25" s="52">
        <f t="shared" si="14"/>
        <v>127970</v>
      </c>
      <c r="AH25" s="52">
        <f t="shared" si="14"/>
        <v>89710</v>
      </c>
      <c r="AI25" s="52">
        <f t="shared" si="14"/>
        <v>200537</v>
      </c>
      <c r="AJ25" s="52">
        <f t="shared" si="14"/>
        <v>201304</v>
      </c>
      <c r="AK25" s="53"/>
    </row>
    <row r="26" spans="1:40" ht="13" x14ac:dyDescent="0.3">
      <c r="A26" s="51" t="s">
        <v>48</v>
      </c>
      <c r="N26" s="52">
        <f t="shared" si="3"/>
        <v>62351.689999999944</v>
      </c>
      <c r="O26" s="52">
        <f t="shared" si="3"/>
        <v>86164.38</v>
      </c>
      <c r="P26" s="52">
        <f t="shared" si="3"/>
        <v>58883.510000000126</v>
      </c>
      <c r="Q26" s="52">
        <f t="shared" si="3"/>
        <v>73644.770000000019</v>
      </c>
      <c r="R26" s="52">
        <f t="shared" si="3"/>
        <v>87250.690000000061</v>
      </c>
      <c r="S26" s="52">
        <f t="shared" si="3"/>
        <v>115004.01000000001</v>
      </c>
      <c r="T26" s="52">
        <f t="shared" si="3"/>
        <v>103909.98000000021</v>
      </c>
      <c r="U26" s="52">
        <f t="shared" si="3"/>
        <v>106397.33000000007</v>
      </c>
      <c r="V26" s="52">
        <f t="shared" si="3"/>
        <v>104960.00999999989</v>
      </c>
      <c r="W26" s="52">
        <f t="shared" si="3"/>
        <v>11701.120000000112</v>
      </c>
      <c r="X26" s="52">
        <f t="shared" si="3"/>
        <v>-338006.86999999988</v>
      </c>
      <c r="Y26" s="52">
        <f t="shared" si="3"/>
        <v>-288663.06000000006</v>
      </c>
      <c r="Z26" s="52">
        <f t="shared" si="6"/>
        <v>-284236</v>
      </c>
      <c r="AA26" s="52">
        <f t="shared" si="7"/>
        <v>-171311</v>
      </c>
      <c r="AB26" s="52">
        <f t="shared" si="8"/>
        <v>-215223</v>
      </c>
      <c r="AC26" s="52">
        <f t="shared" si="9"/>
        <v>-251400</v>
      </c>
      <c r="AD26" s="52">
        <f t="shared" si="10"/>
        <v>-344256</v>
      </c>
      <c r="AE26" s="52">
        <f t="shared" ref="AE26:AJ26" si="15">(AE8-S8)</f>
        <v>-315849</v>
      </c>
      <c r="AF26" s="52">
        <f t="shared" si="15"/>
        <v>-341168</v>
      </c>
      <c r="AG26" s="52">
        <f t="shared" si="15"/>
        <v>-448986</v>
      </c>
      <c r="AH26" s="52">
        <f t="shared" si="15"/>
        <v>-435581</v>
      </c>
      <c r="AI26" s="52">
        <f t="shared" si="15"/>
        <v>-327155</v>
      </c>
      <c r="AJ26" s="52">
        <f t="shared" si="15"/>
        <v>49986</v>
      </c>
      <c r="AK26" s="53"/>
    </row>
    <row r="27" spans="1:40" ht="13" x14ac:dyDescent="0.3">
      <c r="A27" s="51" t="s">
        <v>49</v>
      </c>
      <c r="N27" s="52">
        <f t="shared" si="3"/>
        <v>-617517.18999999994</v>
      </c>
      <c r="O27" s="52">
        <f t="shared" si="3"/>
        <v>-315117.47999999952</v>
      </c>
      <c r="P27" s="52">
        <f t="shared" si="3"/>
        <v>22677.810000000056</v>
      </c>
      <c r="Q27" s="52">
        <f t="shared" si="3"/>
        <v>169609.89999999991</v>
      </c>
      <c r="R27" s="52">
        <f t="shared" si="3"/>
        <v>274581.77</v>
      </c>
      <c r="S27" s="52">
        <f t="shared" si="3"/>
        <v>139954.70999999996</v>
      </c>
      <c r="T27" s="52">
        <f t="shared" si="3"/>
        <v>341519.84999999963</v>
      </c>
      <c r="U27" s="52">
        <f t="shared" si="3"/>
        <v>390218.26000000024</v>
      </c>
      <c r="V27" s="52">
        <f t="shared" si="3"/>
        <v>380929.18000000017</v>
      </c>
      <c r="W27" s="52">
        <f t="shared" si="3"/>
        <v>275185.35000000009</v>
      </c>
      <c r="X27" s="52">
        <f t="shared" si="3"/>
        <v>175898.33999999985</v>
      </c>
      <c r="Y27" s="52">
        <f t="shared" si="3"/>
        <v>474036.01</v>
      </c>
      <c r="Z27" s="52">
        <f t="shared" si="6"/>
        <v>2156742</v>
      </c>
      <c r="AA27" s="52">
        <f t="shared" si="7"/>
        <v>777112</v>
      </c>
      <c r="AB27" s="52">
        <f t="shared" si="8"/>
        <v>393837</v>
      </c>
      <c r="AC27" s="52">
        <f t="shared" si="9"/>
        <v>227086</v>
      </c>
      <c r="AD27" s="52">
        <f t="shared" si="10"/>
        <v>257713</v>
      </c>
      <c r="AE27" s="52">
        <f t="shared" ref="AE27:AJ27" si="16">(AE9-S9)</f>
        <v>610067</v>
      </c>
      <c r="AF27" s="52">
        <f t="shared" si="16"/>
        <v>370903</v>
      </c>
      <c r="AG27" s="52">
        <f t="shared" si="16"/>
        <v>402671</v>
      </c>
      <c r="AH27" s="52">
        <f t="shared" si="16"/>
        <v>233887</v>
      </c>
      <c r="AI27" s="52">
        <f t="shared" si="16"/>
        <v>494221</v>
      </c>
      <c r="AJ27" s="52">
        <f t="shared" si="16"/>
        <v>333116</v>
      </c>
      <c r="AK27" s="53"/>
    </row>
    <row r="28" spans="1:40" ht="13" x14ac:dyDescent="0.3">
      <c r="A28" s="51" t="s">
        <v>50</v>
      </c>
      <c r="N28" s="52">
        <f t="shared" si="3"/>
        <v>-2794901.0900000017</v>
      </c>
      <c r="O28" s="52">
        <f t="shared" si="3"/>
        <v>-864267.79999999981</v>
      </c>
      <c r="P28" s="52">
        <f t="shared" si="3"/>
        <v>-713433.18000000063</v>
      </c>
      <c r="Q28" s="52">
        <f t="shared" si="3"/>
        <v>-725344.28000000073</v>
      </c>
      <c r="R28" s="52">
        <f t="shared" si="3"/>
        <v>-354761.30999999959</v>
      </c>
      <c r="S28" s="52">
        <f t="shared" si="3"/>
        <v>-262279.13000000035</v>
      </c>
      <c r="T28" s="52">
        <f t="shared" si="3"/>
        <v>-279472.40999999922</v>
      </c>
      <c r="U28" s="52">
        <f t="shared" si="3"/>
        <v>-866238.62000000011</v>
      </c>
      <c r="V28" s="52">
        <f t="shared" si="3"/>
        <v>-2798128.9499999993</v>
      </c>
      <c r="W28" s="52">
        <f t="shared" si="3"/>
        <v>-750667.94</v>
      </c>
      <c r="X28" s="52">
        <f t="shared" si="3"/>
        <v>-163241.64999999991</v>
      </c>
      <c r="Y28" s="52">
        <f t="shared" si="3"/>
        <v>-39679.060000000987</v>
      </c>
      <c r="Z28" s="52">
        <f t="shared" si="6"/>
        <v>-83089</v>
      </c>
      <c r="AA28" s="52">
        <f t="shared" si="7"/>
        <v>275110</v>
      </c>
      <c r="AB28" s="52">
        <f t="shared" si="8"/>
        <v>411278</v>
      </c>
      <c r="AC28" s="52">
        <f t="shared" si="9"/>
        <v>238601</v>
      </c>
      <c r="AD28" s="52">
        <f t="shared" si="10"/>
        <v>259933</v>
      </c>
      <c r="AE28" s="52">
        <f t="shared" ref="AE28:AJ28" si="17">(AE10-S10)</f>
        <v>377161</v>
      </c>
      <c r="AF28" s="52">
        <f t="shared" si="17"/>
        <v>490390</v>
      </c>
      <c r="AG28" s="52">
        <f t="shared" si="17"/>
        <v>409022</v>
      </c>
      <c r="AH28" s="52">
        <f t="shared" si="17"/>
        <v>424009</v>
      </c>
      <c r="AI28" s="52">
        <f t="shared" si="17"/>
        <v>517726</v>
      </c>
      <c r="AJ28" s="52">
        <f t="shared" si="17"/>
        <v>422582</v>
      </c>
      <c r="AK28" s="53"/>
    </row>
    <row r="29" spans="1:40" ht="13" x14ac:dyDescent="0.3">
      <c r="A29" s="51" t="s">
        <v>51</v>
      </c>
      <c r="N29" s="52">
        <f t="shared" si="3"/>
        <v>-91680.789999999921</v>
      </c>
      <c r="O29" s="52">
        <f t="shared" si="3"/>
        <v>-31236.449999999953</v>
      </c>
      <c r="P29" s="52">
        <f t="shared" si="3"/>
        <v>14163.489999999991</v>
      </c>
      <c r="Q29" s="52">
        <f t="shared" si="3"/>
        <v>-34813.40000000014</v>
      </c>
      <c r="R29" s="52">
        <f t="shared" si="3"/>
        <v>-35725.430000000051</v>
      </c>
      <c r="S29" s="52">
        <f t="shared" si="3"/>
        <v>-1331.4799999999814</v>
      </c>
      <c r="T29" s="52">
        <f t="shared" si="3"/>
        <v>3034247.87</v>
      </c>
      <c r="U29" s="52">
        <f t="shared" si="3"/>
        <v>3850567.94</v>
      </c>
      <c r="V29" s="52">
        <f t="shared" si="3"/>
        <v>1943048.5</v>
      </c>
      <c r="W29" s="52">
        <f t="shared" si="3"/>
        <v>2438768.4299999997</v>
      </c>
      <c r="X29" s="52">
        <f t="shared" si="3"/>
        <v>-55651.439999999944</v>
      </c>
      <c r="Y29" s="52">
        <f t="shared" si="3"/>
        <v>-37612.229999999865</v>
      </c>
      <c r="Z29" s="52">
        <f t="shared" si="6"/>
        <v>-77141</v>
      </c>
      <c r="AA29" s="52">
        <f t="shared" si="7"/>
        <v>3447</v>
      </c>
      <c r="AB29" s="52">
        <f t="shared" si="8"/>
        <v>45461</v>
      </c>
      <c r="AC29" s="52">
        <f t="shared" si="9"/>
        <v>-18015</v>
      </c>
      <c r="AD29" s="52">
        <f t="shared" si="10"/>
        <v>-19881</v>
      </c>
      <c r="AE29" s="52">
        <f t="shared" ref="AE29:AJ29" si="18">(AE11-S11)</f>
        <v>-18413</v>
      </c>
      <c r="AF29" s="52">
        <f t="shared" si="18"/>
        <v>-3001846</v>
      </c>
      <c r="AG29" s="52">
        <f t="shared" si="18"/>
        <v>-3863805</v>
      </c>
      <c r="AH29" s="52">
        <f t="shared" si="18"/>
        <v>-2031121</v>
      </c>
      <c r="AI29" s="52">
        <f t="shared" si="18"/>
        <v>-2465157</v>
      </c>
      <c r="AJ29" s="52">
        <f t="shared" si="18"/>
        <v>35977</v>
      </c>
      <c r="AK29" s="53"/>
    </row>
    <row r="30" spans="1:40" ht="13" x14ac:dyDescent="0.3">
      <c r="A30" s="51" t="s">
        <v>52</v>
      </c>
      <c r="N30" s="52">
        <f t="shared" si="3"/>
        <v>-208964.85000000009</v>
      </c>
      <c r="O30" s="52">
        <f t="shared" si="3"/>
        <v>-133095.62000000011</v>
      </c>
      <c r="P30" s="52">
        <f t="shared" si="3"/>
        <v>-143661.30999999982</v>
      </c>
      <c r="Q30" s="52">
        <f t="shared" si="3"/>
        <v>-117111.75</v>
      </c>
      <c r="R30" s="52">
        <f t="shared" si="3"/>
        <v>56185.280000000028</v>
      </c>
      <c r="S30" s="52">
        <f t="shared" si="3"/>
        <v>69691.320000000065</v>
      </c>
      <c r="T30" s="52">
        <f t="shared" si="3"/>
        <v>55782.700000000186</v>
      </c>
      <c r="U30" s="52">
        <f t="shared" si="3"/>
        <v>-132947</v>
      </c>
      <c r="V30" s="52">
        <f t="shared" si="3"/>
        <v>-29940.379999999888</v>
      </c>
      <c r="W30" s="52">
        <f t="shared" si="3"/>
        <v>39366.989999999991</v>
      </c>
      <c r="X30" s="52">
        <f t="shared" si="3"/>
        <v>13640.540000000037</v>
      </c>
      <c r="Y30" s="52">
        <f t="shared" si="3"/>
        <v>7945.4299999999348</v>
      </c>
      <c r="Z30" s="52">
        <f t="shared" si="6"/>
        <v>-35006</v>
      </c>
      <c r="AA30" s="52">
        <f t="shared" si="7"/>
        <v>176167</v>
      </c>
      <c r="AB30" s="52">
        <f t="shared" si="8"/>
        <v>238504</v>
      </c>
      <c r="AC30" s="52">
        <f t="shared" si="9"/>
        <v>96702</v>
      </c>
      <c r="AD30" s="52">
        <f t="shared" si="10"/>
        <v>115257</v>
      </c>
      <c r="AE30" s="52">
        <f t="shared" ref="AE30:AJ30" si="19">(AE12-S12)</f>
        <v>172948</v>
      </c>
      <c r="AF30" s="52">
        <f t="shared" si="19"/>
        <v>126677</v>
      </c>
      <c r="AG30" s="52">
        <f t="shared" si="19"/>
        <v>205336</v>
      </c>
      <c r="AH30" s="52">
        <f t="shared" si="19"/>
        <v>-54397</v>
      </c>
      <c r="AI30" s="52">
        <f t="shared" si="19"/>
        <v>6971</v>
      </c>
      <c r="AJ30" s="52">
        <f t="shared" si="19"/>
        <v>122918</v>
      </c>
      <c r="AK30" s="53"/>
    </row>
    <row r="31" spans="1:40" ht="13" x14ac:dyDescent="0.3">
      <c r="A31" s="51" t="s">
        <v>53</v>
      </c>
      <c r="N31" s="52">
        <f t="shared" si="3"/>
        <v>-183469.81999999983</v>
      </c>
      <c r="O31" s="52">
        <f t="shared" si="3"/>
        <v>91859.369999999879</v>
      </c>
      <c r="P31" s="52">
        <f t="shared" si="3"/>
        <v>24942.400000000023</v>
      </c>
      <c r="Q31" s="52">
        <f t="shared" si="3"/>
        <v>-14297.790000000037</v>
      </c>
      <c r="R31" s="52">
        <f t="shared" si="3"/>
        <v>46476.149999999907</v>
      </c>
      <c r="S31" s="52">
        <f t="shared" si="3"/>
        <v>44830.199999999953</v>
      </c>
      <c r="T31" s="52">
        <f t="shared" si="3"/>
        <v>91410.679999999935</v>
      </c>
      <c r="U31" s="52">
        <f t="shared" si="3"/>
        <v>67344.169999999925</v>
      </c>
      <c r="V31" s="52">
        <f t="shared" si="3"/>
        <v>14740.069999999832</v>
      </c>
      <c r="W31" s="52">
        <f t="shared" si="3"/>
        <v>62404.75</v>
      </c>
      <c r="X31" s="52">
        <f t="shared" si="3"/>
        <v>25293.599999999977</v>
      </c>
      <c r="Y31" s="52">
        <f t="shared" si="3"/>
        <v>37722.689999999944</v>
      </c>
      <c r="Z31" s="52">
        <f t="shared" si="6"/>
        <v>15883</v>
      </c>
      <c r="AA31" s="52">
        <f t="shared" si="7"/>
        <v>61255</v>
      </c>
      <c r="AB31" s="52">
        <f t="shared" si="8"/>
        <v>11550</v>
      </c>
      <c r="AC31" s="52">
        <f t="shared" si="9"/>
        <v>-3109</v>
      </c>
      <c r="AD31" s="52">
        <f t="shared" si="10"/>
        <v>46347</v>
      </c>
      <c r="AE31" s="52">
        <f t="shared" ref="AE31:AJ31" si="20">(AE13-S13)</f>
        <v>169130</v>
      </c>
      <c r="AF31" s="52">
        <f t="shared" si="20"/>
        <v>167625</v>
      </c>
      <c r="AG31" s="52">
        <f t="shared" si="20"/>
        <v>28144</v>
      </c>
      <c r="AH31" s="52">
        <f t="shared" si="20"/>
        <v>4045</v>
      </c>
      <c r="AI31" s="52">
        <f t="shared" si="20"/>
        <v>62273</v>
      </c>
      <c r="AJ31" s="52">
        <f t="shared" si="20"/>
        <v>101090</v>
      </c>
      <c r="AK31" s="53"/>
    </row>
    <row r="32" spans="1:40" ht="13" x14ac:dyDescent="0.3">
      <c r="A32" s="51" t="s">
        <v>54</v>
      </c>
      <c r="N32" s="52">
        <f t="shared" si="3"/>
        <v>-721615.5999999987</v>
      </c>
      <c r="O32" s="52">
        <f t="shared" si="3"/>
        <v>122043.46999999974</v>
      </c>
      <c r="P32" s="52">
        <f t="shared" si="3"/>
        <v>1364654.0799999991</v>
      </c>
      <c r="Q32" s="52">
        <f t="shared" si="3"/>
        <v>1551042.0699999994</v>
      </c>
      <c r="R32" s="52">
        <f t="shared" si="3"/>
        <v>754649.61000000034</v>
      </c>
      <c r="S32" s="52">
        <f t="shared" si="3"/>
        <v>112108.30999999959</v>
      </c>
      <c r="T32" s="52">
        <f t="shared" si="3"/>
        <v>-450201.3900000006</v>
      </c>
      <c r="U32" s="52">
        <f t="shared" si="3"/>
        <v>-564433.76999999955</v>
      </c>
      <c r="V32" s="52">
        <f t="shared" si="3"/>
        <v>-543457.8900000006</v>
      </c>
      <c r="W32" s="52">
        <f t="shared" si="3"/>
        <v>-418088.52000000142</v>
      </c>
      <c r="X32" s="52">
        <f t="shared" si="3"/>
        <v>-977020.24000000022</v>
      </c>
      <c r="Y32" s="52">
        <f t="shared" si="3"/>
        <v>-391910.91999999899</v>
      </c>
      <c r="Z32" s="52">
        <f t="shared" si="6"/>
        <v>-522155</v>
      </c>
      <c r="AA32" s="52">
        <f t="shared" si="7"/>
        <v>-1933634</v>
      </c>
      <c r="AB32" s="52">
        <f t="shared" si="8"/>
        <v>-3298680</v>
      </c>
      <c r="AC32" s="52">
        <f t="shared" si="9"/>
        <v>-1934749</v>
      </c>
      <c r="AD32" s="52">
        <f t="shared" si="10"/>
        <v>-960458</v>
      </c>
      <c r="AE32" s="52">
        <f t="shared" ref="AE32:AJ32" si="21">(AE14-S14)</f>
        <v>-119001</v>
      </c>
      <c r="AF32" s="52">
        <f t="shared" si="21"/>
        <v>106106</v>
      </c>
      <c r="AG32" s="52">
        <f t="shared" si="21"/>
        <v>-284690</v>
      </c>
      <c r="AH32" s="52">
        <f t="shared" si="21"/>
        <v>-430176</v>
      </c>
      <c r="AI32" s="52">
        <f t="shared" si="21"/>
        <v>-148484</v>
      </c>
      <c r="AJ32" s="52">
        <f t="shared" si="21"/>
        <v>25537</v>
      </c>
      <c r="AK32" s="53"/>
    </row>
    <row r="33" spans="1:37" ht="13" x14ac:dyDescent="0.3">
      <c r="A33" s="51" t="s">
        <v>55</v>
      </c>
      <c r="N33" s="52">
        <f t="shared" si="3"/>
        <v>-483810.31000000006</v>
      </c>
      <c r="O33" s="52">
        <f t="shared" si="3"/>
        <v>-632874.72</v>
      </c>
      <c r="P33" s="52">
        <f t="shared" si="3"/>
        <v>-301291.68999999994</v>
      </c>
      <c r="Q33" s="52">
        <f t="shared" si="3"/>
        <v>-136887.54000000004</v>
      </c>
      <c r="R33" s="52">
        <f t="shared" si="3"/>
        <v>-150475.81000000006</v>
      </c>
      <c r="S33" s="52">
        <f t="shared" si="3"/>
        <v>-120129.67999999993</v>
      </c>
      <c r="T33" s="52">
        <f t="shared" si="3"/>
        <v>-122504.60000000009</v>
      </c>
      <c r="U33" s="52">
        <f t="shared" si="3"/>
        <v>-171727.50999999989</v>
      </c>
      <c r="V33" s="52">
        <f t="shared" si="3"/>
        <v>-205044.10000000009</v>
      </c>
      <c r="W33" s="52">
        <f t="shared" si="3"/>
        <v>-139867.6399999999</v>
      </c>
      <c r="X33" s="52">
        <f t="shared" si="3"/>
        <v>-179948.49900000007</v>
      </c>
      <c r="Y33" s="52">
        <f t="shared" si="3"/>
        <v>-93373.13</v>
      </c>
      <c r="Z33" s="52">
        <f t="shared" si="6"/>
        <v>-125958</v>
      </c>
      <c r="AA33" s="52">
        <f t="shared" si="7"/>
        <v>-13289</v>
      </c>
      <c r="AB33" s="52">
        <f t="shared" si="8"/>
        <v>-49486</v>
      </c>
      <c r="AC33" s="52">
        <f t="shared" si="9"/>
        <v>-106513</v>
      </c>
      <c r="AD33" s="52">
        <f t="shared" si="10"/>
        <v>-87860</v>
      </c>
      <c r="AE33" s="52">
        <f t="shared" ref="AE33:AJ33" si="22">(AE15-S15)</f>
        <v>11519</v>
      </c>
      <c r="AF33" s="52">
        <f t="shared" si="22"/>
        <v>15028</v>
      </c>
      <c r="AG33" s="52">
        <f t="shared" si="22"/>
        <v>-28793</v>
      </c>
      <c r="AH33" s="52">
        <f t="shared" si="22"/>
        <v>2294</v>
      </c>
      <c r="AI33" s="52">
        <f t="shared" si="22"/>
        <v>21553</v>
      </c>
      <c r="AJ33" s="52">
        <f t="shared" si="22"/>
        <v>55080</v>
      </c>
      <c r="AK33" s="53"/>
    </row>
    <row r="34" spans="1:37" ht="13" x14ac:dyDescent="0.3">
      <c r="A34" s="51" t="s">
        <v>56</v>
      </c>
      <c r="N34" s="52">
        <f t="shared" si="3"/>
        <v>-179991.02000000002</v>
      </c>
      <c r="O34" s="52">
        <f t="shared" si="3"/>
        <v>-47424.820000000065</v>
      </c>
      <c r="P34" s="52">
        <f t="shared" si="3"/>
        <v>-83032.830000000075</v>
      </c>
      <c r="Q34" s="52">
        <f t="shared" si="3"/>
        <v>77496.679999999935</v>
      </c>
      <c r="R34" s="52">
        <f t="shared" si="3"/>
        <v>27149.489999999991</v>
      </c>
      <c r="S34" s="52">
        <f t="shared" si="3"/>
        <v>65194.65000000014</v>
      </c>
      <c r="T34" s="52">
        <f t="shared" si="3"/>
        <v>-45808.080000000075</v>
      </c>
      <c r="U34" s="52">
        <f t="shared" si="3"/>
        <v>3467.660000000149</v>
      </c>
      <c r="V34" s="52">
        <f t="shared" si="3"/>
        <v>-92258.729999999981</v>
      </c>
      <c r="W34" s="52">
        <f t="shared" si="3"/>
        <v>-162374.8200000003</v>
      </c>
      <c r="X34" s="52">
        <f t="shared" si="3"/>
        <v>-71083.329999999609</v>
      </c>
      <c r="Y34" s="52">
        <f t="shared" si="3"/>
        <v>8864.1500000001397</v>
      </c>
      <c r="Z34" s="52">
        <f t="shared" si="6"/>
        <v>-39530</v>
      </c>
      <c r="AA34" s="52">
        <f t="shared" si="7"/>
        <v>163938</v>
      </c>
      <c r="AB34" s="52">
        <f t="shared" si="8"/>
        <v>168858</v>
      </c>
      <c r="AC34" s="52">
        <f t="shared" si="9"/>
        <v>-90027</v>
      </c>
      <c r="AD34" s="52">
        <f t="shared" si="10"/>
        <v>-15996</v>
      </c>
      <c r="AE34" s="52">
        <f t="shared" ref="AE34:AJ34" si="23">(AE16-S16)</f>
        <v>7380</v>
      </c>
      <c r="AF34" s="52">
        <f t="shared" si="23"/>
        <v>54653</v>
      </c>
      <c r="AG34" s="52">
        <f t="shared" si="23"/>
        <v>-100745</v>
      </c>
      <c r="AH34" s="52">
        <f t="shared" si="23"/>
        <v>-133655</v>
      </c>
      <c r="AI34" s="52">
        <f t="shared" si="23"/>
        <v>17991</v>
      </c>
      <c r="AJ34" s="52">
        <f t="shared" si="23"/>
        <v>56288</v>
      </c>
      <c r="AK34" s="53"/>
    </row>
    <row r="35" spans="1:37" ht="13" x14ac:dyDescent="0.3">
      <c r="A35" s="51" t="s">
        <v>57</v>
      </c>
      <c r="N35" s="52">
        <f t="shared" si="3"/>
        <v>-287701</v>
      </c>
      <c r="O35" s="52">
        <f t="shared" si="3"/>
        <v>-71340.120000000112</v>
      </c>
      <c r="P35" s="52">
        <f t="shared" si="3"/>
        <v>-58644</v>
      </c>
      <c r="Q35" s="52">
        <f t="shared" si="3"/>
        <v>53381.719999999972</v>
      </c>
      <c r="R35" s="52">
        <f t="shared" si="3"/>
        <v>74235.280000000028</v>
      </c>
      <c r="S35" s="52">
        <f t="shared" si="3"/>
        <v>40486.5</v>
      </c>
      <c r="T35" s="52">
        <f t="shared" si="3"/>
        <v>-1195.2100000001956</v>
      </c>
      <c r="U35" s="52">
        <f t="shared" si="3"/>
        <v>72815.020000000019</v>
      </c>
      <c r="V35" s="52">
        <f t="shared" si="3"/>
        <v>-61477.320000000065</v>
      </c>
      <c r="W35" s="52">
        <f t="shared" si="3"/>
        <v>86253.770000000019</v>
      </c>
      <c r="X35" s="52">
        <f t="shared" si="3"/>
        <v>-120043.72999999998</v>
      </c>
      <c r="Y35" s="52">
        <f t="shared" si="3"/>
        <v>138822.97999999998</v>
      </c>
      <c r="Z35" s="52">
        <f t="shared" si="6"/>
        <v>-55074</v>
      </c>
      <c r="AA35" s="52">
        <f t="shared" si="7"/>
        <v>171886</v>
      </c>
      <c r="AB35" s="52">
        <f t="shared" si="8"/>
        <v>184342</v>
      </c>
      <c r="AC35" s="52">
        <f t="shared" si="9"/>
        <v>46828</v>
      </c>
      <c r="AD35" s="52">
        <f t="shared" si="10"/>
        <v>239653</v>
      </c>
      <c r="AE35" s="52">
        <f t="shared" ref="AE35:AJ35" si="24">(AE17-S17)</f>
        <v>207615</v>
      </c>
      <c r="AF35" s="52">
        <f t="shared" si="24"/>
        <v>258743</v>
      </c>
      <c r="AG35" s="52">
        <f t="shared" si="24"/>
        <v>224421</v>
      </c>
      <c r="AH35" s="52">
        <f t="shared" si="24"/>
        <v>184844</v>
      </c>
      <c r="AI35" s="52">
        <f t="shared" si="24"/>
        <v>164596</v>
      </c>
      <c r="AJ35" s="52">
        <f t="shared" si="24"/>
        <v>336894</v>
      </c>
      <c r="AK35" s="53"/>
    </row>
    <row r="37" spans="1:37" ht="13" x14ac:dyDescent="0.3"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37" ht="13" x14ac:dyDescent="0.3">
      <c r="L38" s="55"/>
      <c r="M38" s="55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37" ht="13" x14ac:dyDescent="0.3">
      <c r="L39" s="55"/>
      <c r="M39" s="55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37" ht="13" x14ac:dyDescent="0.3">
      <c r="C40" s="57"/>
      <c r="L40" s="55"/>
      <c r="M40" s="55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37" ht="13" x14ac:dyDescent="0.3">
      <c r="C41" s="57"/>
      <c r="L41" s="55"/>
      <c r="M41" s="55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37" ht="13" x14ac:dyDescent="0.3">
      <c r="C42" s="57"/>
      <c r="L42" s="55"/>
      <c r="M42" s="55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37" ht="13" x14ac:dyDescent="0.3">
      <c r="B43" s="58"/>
      <c r="C43" s="57"/>
      <c r="L43" s="55"/>
      <c r="M43" s="55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</row>
    <row r="44" spans="1:37" ht="13" x14ac:dyDescent="0.3">
      <c r="B44" s="58"/>
      <c r="C44" s="57"/>
      <c r="L44" s="55"/>
      <c r="M44" s="55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7" ht="13" x14ac:dyDescent="0.3">
      <c r="B45" s="58"/>
      <c r="C45" s="57"/>
      <c r="L45" s="55"/>
      <c r="M45" s="55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37" ht="13" x14ac:dyDescent="0.3">
      <c r="B46" s="58"/>
      <c r="C46" s="57"/>
      <c r="L46" s="55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</row>
    <row r="47" spans="1:37" ht="13" x14ac:dyDescent="0.3">
      <c r="B47" s="58"/>
      <c r="C47" s="57"/>
      <c r="L47" s="55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</row>
    <row r="48" spans="1:37" ht="13" x14ac:dyDescent="0.3">
      <c r="B48" s="58"/>
      <c r="C48" s="57"/>
      <c r="L48" s="55"/>
      <c r="M48" s="55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</row>
    <row r="49" spans="2:25" ht="13" x14ac:dyDescent="0.3">
      <c r="C49" s="57"/>
      <c r="L49" s="55"/>
      <c r="M49" s="55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</row>
    <row r="50" spans="2:25" ht="13" x14ac:dyDescent="0.3">
      <c r="C50" s="57"/>
      <c r="L50" s="55"/>
      <c r="M50" s="55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</row>
    <row r="51" spans="2:25" ht="13" x14ac:dyDescent="0.3">
      <c r="C51" s="57"/>
      <c r="L51" s="55"/>
      <c r="M51" s="55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</row>
    <row r="52" spans="2:25" ht="13" x14ac:dyDescent="0.3">
      <c r="C52" s="57"/>
      <c r="L52" s="55"/>
      <c r="M52" s="55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</row>
    <row r="53" spans="2:25" x14ac:dyDescent="0.25">
      <c r="C53" s="57"/>
    </row>
    <row r="54" spans="2:25" ht="13" x14ac:dyDescent="0.3">
      <c r="B54" s="58"/>
      <c r="C54" s="57"/>
    </row>
  </sheetData>
  <mergeCells count="6">
    <mergeCell ref="A1:A2"/>
    <mergeCell ref="B1:M1"/>
    <mergeCell ref="N1:Y1"/>
    <mergeCell ref="Z1:AK1"/>
    <mergeCell ref="Z19:AK19"/>
    <mergeCell ref="N19:Y19"/>
  </mergeCells>
  <conditionalFormatting sqref="N21:Y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1:AJ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L3:AN17">
    <cfRule type="colorScale" priority="1">
      <colorScale>
        <cfvo type="min"/>
        <cfvo type="max"/>
        <color rgb="FFFCFCFF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ignoredErrors>
    <ignoredError sqref="AL3:AN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1F7E-F9A7-6447-9784-DC0BBBAD1239}">
  <dimension ref="A1:AN35"/>
  <sheetViews>
    <sheetView workbookViewId="0">
      <pane xSplit="1" ySplit="2" topLeftCell="N19" activePane="bottomRight" state="frozen"/>
      <selection pane="topRight" activeCell="B64" sqref="B64"/>
      <selection pane="bottomLeft" activeCell="B64" sqref="B64"/>
      <selection pane="bottomRight" activeCell="Y50" sqref="Y50"/>
    </sheetView>
  </sheetViews>
  <sheetFormatPr defaultColWidth="8.54296875" defaultRowHeight="12.5" x14ac:dyDescent="0.25"/>
  <cols>
    <col min="1" max="1" width="20.54296875" style="43" bestFit="1" customWidth="1"/>
    <col min="2" max="23" width="11.1796875" style="43" bestFit="1" customWidth="1"/>
    <col min="24" max="36" width="10.1796875" style="43" bestFit="1" customWidth="1"/>
    <col min="37" max="37" width="9" style="43" bestFit="1" customWidth="1"/>
    <col min="38" max="40" width="11.1796875" style="43" bestFit="1" customWidth="1"/>
    <col min="41" max="16384" width="8.54296875" style="43"/>
  </cols>
  <sheetData>
    <row r="1" spans="1:40" ht="13" x14ac:dyDescent="0.3">
      <c r="A1" s="149" t="s">
        <v>42</v>
      </c>
      <c r="B1" s="150">
        <v>2016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>
        <v>2017</v>
      </c>
      <c r="O1" s="150"/>
      <c r="P1" s="150"/>
      <c r="Q1" s="150"/>
      <c r="R1" s="150"/>
      <c r="S1" s="150"/>
      <c r="T1" s="150"/>
      <c r="U1" s="150"/>
      <c r="V1" s="150"/>
      <c r="W1" s="150"/>
      <c r="Z1" s="151">
        <v>2018</v>
      </c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</row>
    <row r="2" spans="1:40" ht="13" x14ac:dyDescent="0.3">
      <c r="A2" s="149"/>
      <c r="B2" s="44">
        <v>1</v>
      </c>
      <c r="C2" s="44">
        <v>2</v>
      </c>
      <c r="D2" s="44">
        <v>3</v>
      </c>
      <c r="E2" s="44">
        <v>4</v>
      </c>
      <c r="F2" s="44">
        <v>5</v>
      </c>
      <c r="G2" s="44">
        <v>6</v>
      </c>
      <c r="H2" s="44">
        <v>7</v>
      </c>
      <c r="I2" s="44">
        <v>8</v>
      </c>
      <c r="J2" s="44">
        <v>9</v>
      </c>
      <c r="K2" s="44">
        <v>10</v>
      </c>
      <c r="L2" s="44">
        <v>11</v>
      </c>
      <c r="M2" s="44">
        <v>12</v>
      </c>
      <c r="N2" s="44">
        <v>1</v>
      </c>
      <c r="O2" s="44">
        <v>2</v>
      </c>
      <c r="P2" s="44">
        <v>3</v>
      </c>
      <c r="Q2" s="44">
        <v>4</v>
      </c>
      <c r="R2" s="44">
        <v>5</v>
      </c>
      <c r="S2" s="44">
        <v>6</v>
      </c>
      <c r="T2" s="44">
        <v>7</v>
      </c>
      <c r="U2" s="44">
        <v>8</v>
      </c>
      <c r="V2" s="44">
        <v>9</v>
      </c>
      <c r="W2" s="44">
        <v>10</v>
      </c>
      <c r="X2" s="44">
        <v>11</v>
      </c>
      <c r="Y2" s="44">
        <v>12</v>
      </c>
      <c r="Z2" s="44">
        <v>1</v>
      </c>
      <c r="AA2" s="44">
        <v>2</v>
      </c>
      <c r="AB2" s="44">
        <v>3</v>
      </c>
      <c r="AC2" s="44">
        <v>4</v>
      </c>
      <c r="AD2" s="44">
        <v>5</v>
      </c>
      <c r="AE2" s="44">
        <v>6</v>
      </c>
      <c r="AF2" s="44">
        <v>7</v>
      </c>
      <c r="AG2" s="44">
        <v>8</v>
      </c>
      <c r="AH2" s="44">
        <v>9</v>
      </c>
      <c r="AI2" s="44">
        <v>10</v>
      </c>
      <c r="AJ2" s="44">
        <v>11</v>
      </c>
      <c r="AK2" s="44">
        <v>12</v>
      </c>
      <c r="AL2" s="45">
        <v>2016</v>
      </c>
      <c r="AM2" s="45">
        <v>2017</v>
      </c>
      <c r="AN2" s="42">
        <v>2018</v>
      </c>
    </row>
    <row r="3" spans="1:40" ht="13" x14ac:dyDescent="0.3">
      <c r="A3" s="59" t="s">
        <v>43</v>
      </c>
      <c r="B3" s="52">
        <v>12990801.729999999</v>
      </c>
      <c r="C3" s="52">
        <v>10432163.429999998</v>
      </c>
      <c r="D3" s="52">
        <v>12144436.980000002</v>
      </c>
      <c r="E3" s="52">
        <v>12764855.840000004</v>
      </c>
      <c r="F3" s="52">
        <v>14183148.080000004</v>
      </c>
      <c r="G3" s="52">
        <v>13704464.229999999</v>
      </c>
      <c r="H3" s="52">
        <v>14510476.099999998</v>
      </c>
      <c r="I3" s="52">
        <v>14199260.120000003</v>
      </c>
      <c r="J3" s="52">
        <v>13450521.889999999</v>
      </c>
      <c r="K3" s="52">
        <v>13194048.009999998</v>
      </c>
      <c r="L3" s="52">
        <v>12125657.529999999</v>
      </c>
      <c r="M3" s="52">
        <v>12397760.659999996</v>
      </c>
      <c r="N3" s="52">
        <v>11885889</v>
      </c>
      <c r="O3" s="52">
        <v>10845361</v>
      </c>
      <c r="P3" s="52">
        <v>12246745</v>
      </c>
      <c r="Q3" s="52">
        <v>12639858</v>
      </c>
      <c r="R3" s="52">
        <v>13793073</v>
      </c>
      <c r="S3" s="52">
        <v>13931880</v>
      </c>
      <c r="T3" s="52">
        <v>14120230</v>
      </c>
      <c r="U3" s="52">
        <v>14173331</v>
      </c>
      <c r="V3" s="52">
        <v>13185060</v>
      </c>
      <c r="W3" s="52">
        <v>12967226</v>
      </c>
      <c r="X3" s="52">
        <v>12061480</v>
      </c>
      <c r="Y3" s="52">
        <v>12844101</v>
      </c>
      <c r="Z3" s="52">
        <v>11241161.129999997</v>
      </c>
      <c r="AA3" s="52">
        <v>11102025.259899992</v>
      </c>
      <c r="AB3" s="52">
        <v>12158318.209999999</v>
      </c>
      <c r="AC3" s="52">
        <v>12104162.861500001</v>
      </c>
      <c r="AD3" s="52">
        <v>13877555.420100005</v>
      </c>
      <c r="AE3" s="52">
        <v>13419222.139999997</v>
      </c>
      <c r="AF3" s="52">
        <v>13702725.070000004</v>
      </c>
      <c r="AG3" s="52">
        <v>13508143.069999998</v>
      </c>
      <c r="AH3" s="52">
        <v>12221900.65</v>
      </c>
      <c r="AI3" s="52">
        <v>12251982.990000004</v>
      </c>
      <c r="AJ3" s="52">
        <v>11991877.599999996</v>
      </c>
      <c r="AK3" s="53"/>
      <c r="AL3" s="48">
        <f>SUM(B3:M3)/AL$19</f>
        <v>0.48554415211945956</v>
      </c>
      <c r="AM3" s="48">
        <f>SUM(N3:Y3)/AM$19</f>
        <v>0.48897788231722933</v>
      </c>
      <c r="AN3" s="48">
        <f>SUM(Z3:AK3)/AN$19</f>
        <v>0.49275290347488687</v>
      </c>
    </row>
    <row r="4" spans="1:40" ht="13" x14ac:dyDescent="0.3">
      <c r="A4" s="59" t="s">
        <v>44</v>
      </c>
      <c r="B4" s="52">
        <v>158877.73000000001</v>
      </c>
      <c r="C4" s="52">
        <v>115717.18000000001</v>
      </c>
      <c r="D4" s="52">
        <v>143961.75</v>
      </c>
      <c r="E4" s="52">
        <v>156134.12</v>
      </c>
      <c r="F4" s="52">
        <v>207092.09999999998</v>
      </c>
      <c r="G4" s="52">
        <v>233805.33000000002</v>
      </c>
      <c r="H4" s="52">
        <v>300036.61</v>
      </c>
      <c r="I4" s="52">
        <v>250191.29</v>
      </c>
      <c r="J4" s="52">
        <v>181715.67</v>
      </c>
      <c r="K4" s="52">
        <v>159240.13999999998</v>
      </c>
      <c r="L4" s="52">
        <v>139102.75</v>
      </c>
      <c r="M4" s="52">
        <v>147377.81</v>
      </c>
      <c r="N4" s="52">
        <v>134986</v>
      </c>
      <c r="O4" s="52">
        <v>122261</v>
      </c>
      <c r="P4" s="52">
        <v>140516</v>
      </c>
      <c r="Q4" s="52">
        <v>154064</v>
      </c>
      <c r="R4" s="52">
        <v>193509</v>
      </c>
      <c r="S4" s="52">
        <v>236574</v>
      </c>
      <c r="T4" s="52">
        <v>283834</v>
      </c>
      <c r="U4" s="52">
        <v>246394</v>
      </c>
      <c r="V4" s="52">
        <v>173366</v>
      </c>
      <c r="W4" s="52">
        <v>154013</v>
      </c>
      <c r="X4" s="52">
        <v>135847</v>
      </c>
      <c r="Y4" s="52">
        <v>156114</v>
      </c>
      <c r="Z4" s="52">
        <v>123646.79</v>
      </c>
      <c r="AA4" s="52">
        <v>126510.51000000001</v>
      </c>
      <c r="AB4" s="52">
        <v>137279.76</v>
      </c>
      <c r="AC4" s="52">
        <v>148711.28</v>
      </c>
      <c r="AD4" s="52">
        <v>271303.2</v>
      </c>
      <c r="AE4" s="52">
        <v>189053.72999999998</v>
      </c>
      <c r="AF4" s="52">
        <v>292576.43</v>
      </c>
      <c r="AG4" s="52">
        <v>243753.31</v>
      </c>
      <c r="AH4" s="52">
        <v>168267.31999999998</v>
      </c>
      <c r="AI4" s="52">
        <v>154957.28999999998</v>
      </c>
      <c r="AJ4" s="52">
        <v>147599.34</v>
      </c>
      <c r="AK4" s="53"/>
      <c r="AL4" s="48">
        <f t="shared" ref="AL4:AL17" si="0">SUM(B4:M4)/$AL$19</f>
        <v>6.8221481472175213E-3</v>
      </c>
      <c r="AM4" s="48">
        <f t="shared" ref="AM4:AM17" si="1">SUM(N4:Y4)/AM$19</f>
        <v>6.7374560233819918E-3</v>
      </c>
      <c r="AN4" s="48">
        <f t="shared" ref="AN4:AN17" si="2">SUM(Z4:AK4)/AN$19</f>
        <v>7.176300425108164E-3</v>
      </c>
    </row>
    <row r="5" spans="1:40" ht="13" x14ac:dyDescent="0.3">
      <c r="A5" s="59" t="s">
        <v>45</v>
      </c>
      <c r="B5" s="52">
        <v>1271233.8500000001</v>
      </c>
      <c r="C5" s="52">
        <v>969420.1100000001</v>
      </c>
      <c r="D5" s="52">
        <v>1143817.98</v>
      </c>
      <c r="E5" s="52">
        <v>1235103.69</v>
      </c>
      <c r="F5" s="52">
        <v>1452539.0199999998</v>
      </c>
      <c r="G5" s="52">
        <v>1440052.98</v>
      </c>
      <c r="H5" s="52">
        <v>1592479.52</v>
      </c>
      <c r="I5" s="52">
        <v>1502304.27</v>
      </c>
      <c r="J5" s="52">
        <v>1332018.97</v>
      </c>
      <c r="K5" s="52">
        <v>1218216.5099999998</v>
      </c>
      <c r="L5" s="52">
        <v>1137509.6800000002</v>
      </c>
      <c r="M5" s="52">
        <v>1146848.3500000001</v>
      </c>
      <c r="N5" s="52">
        <v>1135672</v>
      </c>
      <c r="O5" s="52">
        <v>973187</v>
      </c>
      <c r="P5" s="52">
        <v>1167149</v>
      </c>
      <c r="Q5" s="52">
        <v>1181236</v>
      </c>
      <c r="R5" s="52">
        <v>1389451</v>
      </c>
      <c r="S5" s="52">
        <v>1442684</v>
      </c>
      <c r="T5" s="52">
        <v>1527884</v>
      </c>
      <c r="U5" s="52">
        <v>1528878</v>
      </c>
      <c r="V5" s="52">
        <v>1318145</v>
      </c>
      <c r="W5" s="52">
        <v>1257203</v>
      </c>
      <c r="X5" s="52">
        <v>1099639</v>
      </c>
      <c r="Y5" s="52">
        <v>1141250</v>
      </c>
      <c r="Z5" s="52">
        <v>1025646.3199999998</v>
      </c>
      <c r="AA5" s="52">
        <v>1000860.15</v>
      </c>
      <c r="AB5" s="52">
        <v>1080200.1400000001</v>
      </c>
      <c r="AC5" s="52">
        <v>1120699.1932999999</v>
      </c>
      <c r="AD5" s="52">
        <v>1316529.8699999999</v>
      </c>
      <c r="AE5" s="52">
        <v>1262638.9200000002</v>
      </c>
      <c r="AF5" s="52">
        <v>1386397.5200000003</v>
      </c>
      <c r="AG5" s="52">
        <v>1339440.3899999999</v>
      </c>
      <c r="AH5" s="52">
        <v>1155392.17</v>
      </c>
      <c r="AI5" s="52">
        <v>1133230.8600000001</v>
      </c>
      <c r="AJ5" s="52">
        <v>1078310.21</v>
      </c>
      <c r="AK5" s="53"/>
      <c r="AL5" s="48">
        <f t="shared" si="0"/>
        <v>4.8031181131675101E-2</v>
      </c>
      <c r="AM5" s="48">
        <f t="shared" si="1"/>
        <v>4.7927238744615054E-2</v>
      </c>
      <c r="AN5" s="48">
        <f t="shared" si="2"/>
        <v>4.620026770486977E-2</v>
      </c>
    </row>
    <row r="6" spans="1:40" ht="13" x14ac:dyDescent="0.3">
      <c r="A6" s="59" t="s">
        <v>46</v>
      </c>
      <c r="B6" s="52">
        <v>679841.57</v>
      </c>
      <c r="C6" s="52">
        <v>551565.59000000008</v>
      </c>
      <c r="D6" s="52">
        <v>653214.56000000006</v>
      </c>
      <c r="E6" s="52">
        <v>674375.45000000007</v>
      </c>
      <c r="F6" s="52">
        <v>757488.22</v>
      </c>
      <c r="G6" s="52">
        <v>864645.93</v>
      </c>
      <c r="H6" s="52">
        <v>959407.83000000007</v>
      </c>
      <c r="I6" s="52">
        <v>894066.78</v>
      </c>
      <c r="J6" s="52">
        <v>774677.16999999993</v>
      </c>
      <c r="K6" s="52">
        <v>707687.42999999993</v>
      </c>
      <c r="L6" s="52">
        <v>614377.60000000009</v>
      </c>
      <c r="M6" s="52">
        <v>675588.67999999993</v>
      </c>
      <c r="N6" s="52">
        <v>642443</v>
      </c>
      <c r="O6" s="52">
        <v>556360</v>
      </c>
      <c r="P6" s="52">
        <v>639732</v>
      </c>
      <c r="Q6" s="52">
        <v>689228</v>
      </c>
      <c r="R6" s="52">
        <v>824544</v>
      </c>
      <c r="S6" s="52">
        <v>872133</v>
      </c>
      <c r="T6" s="52">
        <v>923101</v>
      </c>
      <c r="U6" s="52">
        <v>885285</v>
      </c>
      <c r="V6" s="52">
        <v>765419</v>
      </c>
      <c r="W6" s="52">
        <v>712314</v>
      </c>
      <c r="X6" s="52">
        <v>630443</v>
      </c>
      <c r="Y6" s="52">
        <v>710444</v>
      </c>
      <c r="Z6" s="52">
        <v>565322.39</v>
      </c>
      <c r="AA6" s="52">
        <v>556754.78</v>
      </c>
      <c r="AB6" s="52">
        <v>640823.97</v>
      </c>
      <c r="AC6" s="52">
        <v>674668.45230000012</v>
      </c>
      <c r="AD6" s="52">
        <v>831200.47</v>
      </c>
      <c r="AE6" s="52">
        <v>839143.02999999991</v>
      </c>
      <c r="AF6" s="52">
        <v>867587.24</v>
      </c>
      <c r="AG6" s="52">
        <v>825295.53</v>
      </c>
      <c r="AH6" s="52">
        <v>705370.04</v>
      </c>
      <c r="AI6" s="52">
        <v>682040.39999999991</v>
      </c>
      <c r="AJ6" s="52">
        <v>649648.37000000011</v>
      </c>
      <c r="AK6" s="53"/>
      <c r="AL6" s="48">
        <f t="shared" si="0"/>
        <v>2.7394122741857475E-2</v>
      </c>
      <c r="AM6" s="48">
        <f t="shared" si="1"/>
        <v>2.7978814779388031E-2</v>
      </c>
      <c r="AN6" s="48">
        <f t="shared" si="2"/>
        <v>2.8072042667761431E-2</v>
      </c>
    </row>
    <row r="7" spans="1:40" ht="13" x14ac:dyDescent="0.3">
      <c r="A7" s="59" t="s">
        <v>47</v>
      </c>
      <c r="B7" s="52">
        <v>614782.29999999993</v>
      </c>
      <c r="C7" s="52">
        <v>456251.3</v>
      </c>
      <c r="D7" s="52">
        <v>560202.93999999994</v>
      </c>
      <c r="E7" s="52">
        <v>615209.94000000006</v>
      </c>
      <c r="F7" s="52">
        <v>778446.28</v>
      </c>
      <c r="G7" s="52">
        <v>787585.70000000007</v>
      </c>
      <c r="H7" s="52">
        <v>884398.66999999981</v>
      </c>
      <c r="I7" s="52">
        <v>798926.28999999992</v>
      </c>
      <c r="J7" s="52">
        <v>711362.29999999993</v>
      </c>
      <c r="K7" s="52">
        <v>636223.04999999993</v>
      </c>
      <c r="L7" s="52">
        <v>540931.93000000005</v>
      </c>
      <c r="M7" s="52">
        <v>590993.81999999995</v>
      </c>
      <c r="N7" s="52">
        <v>552452</v>
      </c>
      <c r="O7" s="52">
        <v>507107</v>
      </c>
      <c r="P7" s="52">
        <v>583754</v>
      </c>
      <c r="Q7" s="52">
        <v>617773</v>
      </c>
      <c r="R7" s="52">
        <v>726076</v>
      </c>
      <c r="S7" s="52">
        <v>807028</v>
      </c>
      <c r="T7" s="52">
        <v>871678</v>
      </c>
      <c r="U7" s="52">
        <v>825692</v>
      </c>
      <c r="V7" s="52">
        <v>693757</v>
      </c>
      <c r="W7" s="52">
        <v>621249</v>
      </c>
      <c r="X7" s="52">
        <v>576892</v>
      </c>
      <c r="Y7" s="52">
        <v>618241</v>
      </c>
      <c r="Z7" s="52">
        <v>501504.84</v>
      </c>
      <c r="AA7" s="52">
        <v>508296.63</v>
      </c>
      <c r="AB7" s="52">
        <v>572053.52999999991</v>
      </c>
      <c r="AC7" s="52">
        <v>602522.54240000003</v>
      </c>
      <c r="AD7" s="52">
        <v>778319.25999999989</v>
      </c>
      <c r="AE7" s="52">
        <v>818157.7200000002</v>
      </c>
      <c r="AF7" s="52">
        <v>858203.6100000001</v>
      </c>
      <c r="AG7" s="52">
        <v>808244.32000000007</v>
      </c>
      <c r="AH7" s="52">
        <v>673015.54</v>
      </c>
      <c r="AI7" s="52">
        <v>624869.98</v>
      </c>
      <c r="AJ7" s="52">
        <v>583528.86</v>
      </c>
      <c r="AK7" s="53"/>
      <c r="AL7" s="48">
        <f t="shared" si="0"/>
        <v>2.4807347841729104E-2</v>
      </c>
      <c r="AM7" s="48">
        <f t="shared" si="1"/>
        <v>2.5292822691503108E-2</v>
      </c>
      <c r="AN7" s="48">
        <f t="shared" si="2"/>
        <v>2.6248515725375478E-2</v>
      </c>
    </row>
    <row r="8" spans="1:40" ht="13" x14ac:dyDescent="0.3">
      <c r="A8" s="59" t="s">
        <v>48</v>
      </c>
      <c r="B8" s="52">
        <v>485541.52999999997</v>
      </c>
      <c r="C8" s="52">
        <v>381653.6</v>
      </c>
      <c r="D8" s="52">
        <v>467568.66000000003</v>
      </c>
      <c r="E8" s="52">
        <v>510185.29</v>
      </c>
      <c r="F8" s="52">
        <v>645585.63</v>
      </c>
      <c r="G8" s="52">
        <v>747788.5</v>
      </c>
      <c r="H8" s="52">
        <v>920545.40000000014</v>
      </c>
      <c r="I8" s="52">
        <v>821063.26</v>
      </c>
      <c r="J8" s="52">
        <v>665003.38</v>
      </c>
      <c r="K8" s="52">
        <v>610707.44999999995</v>
      </c>
      <c r="L8" s="52">
        <v>526596.38000000012</v>
      </c>
      <c r="M8" s="52">
        <v>567331.31000000006</v>
      </c>
      <c r="N8" s="52">
        <v>458269</v>
      </c>
      <c r="O8" s="52">
        <v>420838</v>
      </c>
      <c r="P8" s="52">
        <v>469531</v>
      </c>
      <c r="Q8" s="52">
        <v>529957</v>
      </c>
      <c r="R8" s="52">
        <v>631766</v>
      </c>
      <c r="S8" s="52">
        <v>729435</v>
      </c>
      <c r="T8" s="52">
        <v>858334</v>
      </c>
      <c r="U8" s="52">
        <v>763730</v>
      </c>
      <c r="V8" s="52">
        <v>594780</v>
      </c>
      <c r="W8" s="52">
        <v>539776</v>
      </c>
      <c r="X8" s="52">
        <v>389852</v>
      </c>
      <c r="Y8" s="52">
        <v>424952</v>
      </c>
      <c r="Z8" s="52">
        <v>351202.94999999995</v>
      </c>
      <c r="AA8" s="52">
        <v>356215.37</v>
      </c>
      <c r="AB8" s="52">
        <v>394079.64999999997</v>
      </c>
      <c r="AC8" s="52">
        <v>425835.19430000009</v>
      </c>
      <c r="AD8" s="52">
        <v>534821.99</v>
      </c>
      <c r="AE8" s="52">
        <v>524407.04000000004</v>
      </c>
      <c r="AF8" s="52">
        <v>643903.1399999999</v>
      </c>
      <c r="AG8" s="52">
        <v>586111.15999999992</v>
      </c>
      <c r="AH8" s="52">
        <v>432594.66000000003</v>
      </c>
      <c r="AI8" s="52">
        <v>410399.47</v>
      </c>
      <c r="AJ8" s="52">
        <v>386357.77999999997</v>
      </c>
      <c r="AK8" s="53"/>
      <c r="AL8" s="48">
        <f t="shared" si="0"/>
        <v>2.2860960366488801E-2</v>
      </c>
      <c r="AM8" s="48">
        <f t="shared" si="1"/>
        <v>2.152980008031042E-2</v>
      </c>
      <c r="AN8" s="48">
        <f t="shared" si="2"/>
        <v>1.8072485825054503E-2</v>
      </c>
    </row>
    <row r="9" spans="1:40" ht="13" x14ac:dyDescent="0.3">
      <c r="A9" s="59" t="s">
        <v>49</v>
      </c>
      <c r="B9" s="52">
        <v>1207012.95</v>
      </c>
      <c r="C9" s="52">
        <v>921166.27</v>
      </c>
      <c r="D9" s="52">
        <v>1071097.55</v>
      </c>
      <c r="E9" s="52">
        <v>1140094.06</v>
      </c>
      <c r="F9" s="52">
        <v>1369734.65</v>
      </c>
      <c r="G9" s="52">
        <v>1374177.88</v>
      </c>
      <c r="H9" s="52">
        <v>1520886.28</v>
      </c>
      <c r="I9" s="52">
        <v>1392216.8900000001</v>
      </c>
      <c r="J9" s="52">
        <v>1224167.48</v>
      </c>
      <c r="K9" s="52">
        <v>1162579.01</v>
      </c>
      <c r="L9" s="52">
        <v>1052366.2800000003</v>
      </c>
      <c r="M9" s="52">
        <v>1091269.46</v>
      </c>
      <c r="N9" s="52">
        <v>934753</v>
      </c>
      <c r="O9" s="52">
        <v>869354</v>
      </c>
      <c r="P9" s="52">
        <v>1049451</v>
      </c>
      <c r="Q9" s="52">
        <v>1107562</v>
      </c>
      <c r="R9" s="52">
        <v>1272007</v>
      </c>
      <c r="S9" s="52">
        <v>1396443</v>
      </c>
      <c r="T9" s="52">
        <v>1476545</v>
      </c>
      <c r="U9" s="52">
        <v>1405596</v>
      </c>
      <c r="V9" s="52">
        <v>1240606</v>
      </c>
      <c r="W9" s="52">
        <v>1171873</v>
      </c>
      <c r="X9" s="52">
        <v>1051070</v>
      </c>
      <c r="Y9" s="52">
        <v>1194528</v>
      </c>
      <c r="Z9" s="52">
        <v>1015153.8899999999</v>
      </c>
      <c r="AA9" s="52">
        <v>995796.39</v>
      </c>
      <c r="AB9" s="52">
        <v>1055998.7999999998</v>
      </c>
      <c r="AC9" s="52">
        <v>1098268.3459000001</v>
      </c>
      <c r="AD9" s="52">
        <v>1358369.59</v>
      </c>
      <c r="AE9" s="52">
        <v>1363782.2799999998</v>
      </c>
      <c r="AF9" s="52">
        <v>1446612.9400000004</v>
      </c>
      <c r="AG9" s="52">
        <v>1328193.1499999999</v>
      </c>
      <c r="AH9" s="52">
        <v>1142006.02</v>
      </c>
      <c r="AI9" s="52">
        <v>1099684.1199999999</v>
      </c>
      <c r="AJ9" s="52">
        <v>1044089.3300000001</v>
      </c>
      <c r="AK9" s="53"/>
      <c r="AL9" s="48">
        <f t="shared" si="0"/>
        <v>4.518575471123662E-2</v>
      </c>
      <c r="AM9" s="48">
        <f t="shared" si="1"/>
        <v>4.4789729713675612E-2</v>
      </c>
      <c r="AN9" s="48">
        <f t="shared" si="2"/>
        <v>4.6374365993240921E-2</v>
      </c>
    </row>
    <row r="10" spans="1:40" ht="13" x14ac:dyDescent="0.3">
      <c r="A10" s="59" t="s">
        <v>50</v>
      </c>
      <c r="B10" s="52">
        <v>1768561.97</v>
      </c>
      <c r="C10" s="52">
        <v>1290088.4000000001</v>
      </c>
      <c r="D10" s="52">
        <v>1546561.8499999999</v>
      </c>
      <c r="E10" s="52">
        <v>1637635.23</v>
      </c>
      <c r="F10" s="52">
        <v>1969110.4400000004</v>
      </c>
      <c r="G10" s="52">
        <v>2059156.4500000002</v>
      </c>
      <c r="H10" s="52">
        <v>2469204.06</v>
      </c>
      <c r="I10" s="52">
        <v>2196152.1500000004</v>
      </c>
      <c r="J10" s="52">
        <v>2128854.88</v>
      </c>
      <c r="K10" s="52">
        <v>1709359.99</v>
      </c>
      <c r="L10" s="52">
        <v>1517947.36</v>
      </c>
      <c r="M10" s="52">
        <v>1631911.9499999997</v>
      </c>
      <c r="N10" s="52">
        <v>1514194</v>
      </c>
      <c r="O10" s="52">
        <v>1361277</v>
      </c>
      <c r="P10" s="52">
        <v>1532644</v>
      </c>
      <c r="Q10" s="52">
        <v>1619448</v>
      </c>
      <c r="R10" s="52">
        <v>1878765</v>
      </c>
      <c r="S10" s="52">
        <v>2070570</v>
      </c>
      <c r="T10" s="52">
        <v>2352264</v>
      </c>
      <c r="U10" s="52">
        <v>2101958</v>
      </c>
      <c r="V10" s="52">
        <v>1738707</v>
      </c>
      <c r="W10" s="52">
        <v>1656456</v>
      </c>
      <c r="X10" s="52">
        <v>1527046</v>
      </c>
      <c r="Y10" s="52">
        <v>1795209</v>
      </c>
      <c r="Z10" s="52">
        <v>1449082.6099999999</v>
      </c>
      <c r="AA10" s="52">
        <v>1464853.5800000003</v>
      </c>
      <c r="AB10" s="52">
        <v>1591398.7799999998</v>
      </c>
      <c r="AC10" s="52">
        <v>1669490.5680000004</v>
      </c>
      <c r="AD10" s="52">
        <v>2047799.2399999998</v>
      </c>
      <c r="AE10" s="52">
        <v>2086520.2699999998</v>
      </c>
      <c r="AF10" s="52">
        <v>2450718.5900000003</v>
      </c>
      <c r="AG10" s="52">
        <v>2214030.0900000008</v>
      </c>
      <c r="AH10" s="52">
        <v>1751066.46</v>
      </c>
      <c r="AI10" s="52">
        <v>1644651.5800000003</v>
      </c>
      <c r="AJ10" s="52">
        <v>1574208.1600000001</v>
      </c>
      <c r="AK10" s="53"/>
      <c r="AL10" s="48">
        <f t="shared" si="0"/>
        <v>6.8196659332334222E-2</v>
      </c>
      <c r="AM10" s="48">
        <f t="shared" si="1"/>
        <v>6.6849080653810622E-2</v>
      </c>
      <c r="AN10" s="48">
        <f t="shared" si="2"/>
        <v>7.1430740602476117E-2</v>
      </c>
    </row>
    <row r="11" spans="1:40" ht="13" x14ac:dyDescent="0.3">
      <c r="A11" s="59" t="s">
        <v>51</v>
      </c>
      <c r="B11" s="52">
        <v>419905.01000000007</v>
      </c>
      <c r="C11" s="52">
        <v>305865.48</v>
      </c>
      <c r="D11" s="52">
        <v>376293.4</v>
      </c>
      <c r="E11" s="52">
        <v>418235.08999999997</v>
      </c>
      <c r="F11" s="52">
        <v>529744.31000000006</v>
      </c>
      <c r="G11" s="52">
        <v>516922.88</v>
      </c>
      <c r="H11" s="52">
        <v>591902.93999999994</v>
      </c>
      <c r="I11" s="52">
        <v>547517.32999999996</v>
      </c>
      <c r="J11" s="52">
        <v>470052.74</v>
      </c>
      <c r="K11" s="52">
        <v>390595.19</v>
      </c>
      <c r="L11" s="52">
        <v>374797.33</v>
      </c>
      <c r="M11" s="52">
        <v>383033.13</v>
      </c>
      <c r="N11" s="52">
        <v>382816</v>
      </c>
      <c r="O11" s="52">
        <v>329910</v>
      </c>
      <c r="P11" s="52">
        <v>375330</v>
      </c>
      <c r="Q11" s="52">
        <v>388896</v>
      </c>
      <c r="R11" s="52">
        <v>494863</v>
      </c>
      <c r="S11" s="52">
        <v>532030</v>
      </c>
      <c r="T11" s="52">
        <v>591671</v>
      </c>
      <c r="U11" s="52">
        <v>557243</v>
      </c>
      <c r="V11" s="52">
        <v>468868</v>
      </c>
      <c r="W11" s="52">
        <v>541500</v>
      </c>
      <c r="X11" s="52">
        <v>329736</v>
      </c>
      <c r="Y11" s="52">
        <v>363242</v>
      </c>
      <c r="Z11" s="52">
        <v>305253.32</v>
      </c>
      <c r="AA11" s="52">
        <v>310011.06</v>
      </c>
      <c r="AB11" s="52">
        <v>342466.64</v>
      </c>
      <c r="AC11" s="52">
        <v>364492.91469999996</v>
      </c>
      <c r="AD11" s="52">
        <v>471378.93999999994</v>
      </c>
      <c r="AE11" s="52">
        <v>453647.02</v>
      </c>
      <c r="AF11" s="52">
        <v>460290.08999999997</v>
      </c>
      <c r="AG11" s="52">
        <v>440835.27999999997</v>
      </c>
      <c r="AH11" s="52">
        <v>378161.16000000003</v>
      </c>
      <c r="AI11" s="52">
        <v>343878.46</v>
      </c>
      <c r="AJ11" s="52">
        <v>343092.38</v>
      </c>
      <c r="AK11" s="53"/>
      <c r="AL11" s="48">
        <f t="shared" si="0"/>
        <v>1.6563080204139675E-2</v>
      </c>
      <c r="AM11" s="48">
        <f t="shared" si="1"/>
        <v>1.693028119179105E-2</v>
      </c>
      <c r="AN11" s="48">
        <f t="shared" si="2"/>
        <v>1.5091088143494712E-2</v>
      </c>
    </row>
    <row r="12" spans="1:40" ht="13" x14ac:dyDescent="0.3">
      <c r="A12" s="59" t="s">
        <v>52</v>
      </c>
      <c r="B12" s="52">
        <v>695860.9</v>
      </c>
      <c r="C12" s="52">
        <v>544949.97000000009</v>
      </c>
      <c r="D12" s="52">
        <v>641165.6100000001</v>
      </c>
      <c r="E12" s="52">
        <v>703924.15</v>
      </c>
      <c r="F12" s="52">
        <v>870271.8600000001</v>
      </c>
      <c r="G12" s="52">
        <v>858834.55999999994</v>
      </c>
      <c r="H12" s="52">
        <v>993868.92</v>
      </c>
      <c r="I12" s="52">
        <v>897458.74</v>
      </c>
      <c r="J12" s="52">
        <v>779458.28999999992</v>
      </c>
      <c r="K12" s="52">
        <v>735188.53000000014</v>
      </c>
      <c r="L12" s="52">
        <v>650442.18000000005</v>
      </c>
      <c r="M12" s="52">
        <v>688225.09</v>
      </c>
      <c r="N12" s="52">
        <v>628131</v>
      </c>
      <c r="O12" s="52">
        <v>573556</v>
      </c>
      <c r="P12" s="52">
        <v>649067</v>
      </c>
      <c r="Q12" s="52">
        <v>691961</v>
      </c>
      <c r="R12" s="52">
        <v>848762</v>
      </c>
      <c r="S12" s="52">
        <v>911356</v>
      </c>
      <c r="T12" s="52">
        <v>986382</v>
      </c>
      <c r="U12" s="52">
        <v>925719</v>
      </c>
      <c r="V12" s="52">
        <v>788428</v>
      </c>
      <c r="W12" s="52">
        <v>721325</v>
      </c>
      <c r="X12" s="52">
        <v>647142</v>
      </c>
      <c r="Y12" s="52">
        <v>717488</v>
      </c>
      <c r="Z12" s="52">
        <v>595618.38000000012</v>
      </c>
      <c r="AA12" s="52">
        <v>608699.21</v>
      </c>
      <c r="AB12" s="52">
        <v>654750.70000000007</v>
      </c>
      <c r="AC12" s="52">
        <v>688604.27859999996</v>
      </c>
      <c r="AD12" s="52">
        <v>882352.69</v>
      </c>
      <c r="AE12" s="52">
        <v>871710.58</v>
      </c>
      <c r="AF12" s="52">
        <v>942032.51</v>
      </c>
      <c r="AG12" s="52">
        <v>889519.48</v>
      </c>
      <c r="AH12" s="52">
        <v>744341.94000000006</v>
      </c>
      <c r="AI12" s="52">
        <v>713062.11</v>
      </c>
      <c r="AJ12" s="52">
        <v>664217.91</v>
      </c>
      <c r="AK12" s="53"/>
      <c r="AL12" s="48">
        <f t="shared" si="0"/>
        <v>2.8180187570270732E-2</v>
      </c>
      <c r="AM12" s="48">
        <f t="shared" si="1"/>
        <v>2.8730708724217815E-2</v>
      </c>
      <c r="AN12" s="48">
        <f t="shared" si="2"/>
        <v>2.9565766334386425E-2</v>
      </c>
    </row>
    <row r="13" spans="1:40" ht="13" x14ac:dyDescent="0.3">
      <c r="A13" s="59" t="s">
        <v>53</v>
      </c>
      <c r="B13" s="52">
        <v>683082.67</v>
      </c>
      <c r="C13" s="52">
        <v>508105.25999999995</v>
      </c>
      <c r="D13" s="52">
        <v>619898.9</v>
      </c>
      <c r="E13" s="52">
        <v>662575.12000000011</v>
      </c>
      <c r="F13" s="52">
        <v>833141.9</v>
      </c>
      <c r="G13" s="52">
        <v>899905.53</v>
      </c>
      <c r="H13" s="52">
        <v>1074568.95</v>
      </c>
      <c r="I13" s="52">
        <v>938993.66</v>
      </c>
      <c r="J13" s="52">
        <v>749083.70000000007</v>
      </c>
      <c r="K13" s="52">
        <v>700191.46</v>
      </c>
      <c r="L13" s="52">
        <v>599384.94999999995</v>
      </c>
      <c r="M13" s="52">
        <v>630693.28</v>
      </c>
      <c r="N13" s="52">
        <v>604118</v>
      </c>
      <c r="O13" s="52">
        <v>539473</v>
      </c>
      <c r="P13" s="52">
        <v>625036</v>
      </c>
      <c r="Q13" s="52">
        <v>679619</v>
      </c>
      <c r="R13" s="52">
        <v>804986</v>
      </c>
      <c r="S13" s="52">
        <v>914276</v>
      </c>
      <c r="T13" s="52">
        <v>1059321</v>
      </c>
      <c r="U13" s="52">
        <v>956037</v>
      </c>
      <c r="V13" s="52">
        <v>720268</v>
      </c>
      <c r="W13" s="52">
        <v>704873</v>
      </c>
      <c r="X13" s="52">
        <v>600262</v>
      </c>
      <c r="Y13" s="52">
        <v>679546</v>
      </c>
      <c r="Z13" s="52">
        <v>545387.05999999994</v>
      </c>
      <c r="AA13" s="52">
        <v>546295.22</v>
      </c>
      <c r="AB13" s="52">
        <v>594490.76</v>
      </c>
      <c r="AC13" s="52">
        <v>655442.62000000011</v>
      </c>
      <c r="AD13" s="52">
        <v>824082.6</v>
      </c>
      <c r="AE13" s="52">
        <v>863812.14</v>
      </c>
      <c r="AF13" s="52">
        <v>1047189.44</v>
      </c>
      <c r="AG13" s="52">
        <v>908433.7</v>
      </c>
      <c r="AH13" s="52">
        <v>689975.35000000009</v>
      </c>
      <c r="AI13" s="52">
        <v>672718.71</v>
      </c>
      <c r="AJ13" s="52">
        <v>597711.03999999992</v>
      </c>
      <c r="AK13" s="53"/>
      <c r="AL13" s="48">
        <f t="shared" si="0"/>
        <v>2.7682432073254534E-2</v>
      </c>
      <c r="AM13" s="48">
        <f t="shared" si="1"/>
        <v>2.8093774698333653E-2</v>
      </c>
      <c r="AN13" s="48">
        <f t="shared" si="2"/>
        <v>2.8457723324305319E-2</v>
      </c>
    </row>
    <row r="14" spans="1:40" ht="13" x14ac:dyDescent="0.3">
      <c r="A14" s="59" t="s">
        <v>54</v>
      </c>
      <c r="B14" s="52">
        <v>3217925.0600000005</v>
      </c>
      <c r="C14" s="52">
        <v>2490759.98</v>
      </c>
      <c r="D14" s="52">
        <v>3220784.8399999994</v>
      </c>
      <c r="E14" s="52">
        <v>3070815.8200000008</v>
      </c>
      <c r="F14" s="52">
        <v>3549429.8</v>
      </c>
      <c r="G14" s="52">
        <v>3455513.96</v>
      </c>
      <c r="H14" s="52">
        <v>3796170.8000000003</v>
      </c>
      <c r="I14" s="52">
        <v>3600199.8900000006</v>
      </c>
      <c r="J14" s="52">
        <v>3611512.98</v>
      </c>
      <c r="K14" s="52">
        <v>3181579.7800000003</v>
      </c>
      <c r="L14" s="52">
        <v>3017059.2399999998</v>
      </c>
      <c r="M14" s="52">
        <v>3064559.0600000005</v>
      </c>
      <c r="N14" s="52">
        <v>2937757</v>
      </c>
      <c r="O14" s="52">
        <v>2594100</v>
      </c>
      <c r="P14" s="52">
        <v>2889122</v>
      </c>
      <c r="Q14" s="52">
        <v>2976119</v>
      </c>
      <c r="R14" s="52">
        <v>3621713</v>
      </c>
      <c r="S14" s="52">
        <v>3529077</v>
      </c>
      <c r="T14" s="52">
        <v>3552580</v>
      </c>
      <c r="U14" s="52">
        <v>3573569</v>
      </c>
      <c r="V14" s="52">
        <v>3231357</v>
      </c>
      <c r="W14" s="52">
        <v>3109965</v>
      </c>
      <c r="X14" s="52">
        <v>2821499</v>
      </c>
      <c r="Y14" s="52">
        <v>3116867</v>
      </c>
      <c r="Z14" s="52">
        <v>2632062.5499999998</v>
      </c>
      <c r="AA14" s="52">
        <v>2654654.87</v>
      </c>
      <c r="AB14" s="52">
        <v>2810169.1500000004</v>
      </c>
      <c r="AC14" s="52">
        <v>2813265.6338</v>
      </c>
      <c r="AD14" s="52">
        <v>3328168.1499999994</v>
      </c>
      <c r="AE14" s="52">
        <v>3262179.0999999996</v>
      </c>
      <c r="AF14" s="52">
        <v>3313419.38</v>
      </c>
      <c r="AG14" s="52">
        <v>3158482.71</v>
      </c>
      <c r="AH14" s="52">
        <v>2921553.0800000005</v>
      </c>
      <c r="AI14" s="52">
        <v>2831578.41</v>
      </c>
      <c r="AJ14" s="52">
        <v>2752533.6400000006</v>
      </c>
      <c r="AK14" s="53"/>
      <c r="AL14" s="48">
        <f t="shared" si="0"/>
        <v>0.12216961621802902</v>
      </c>
      <c r="AM14" s="48">
        <f t="shared" si="1"/>
        <v>0.1199691261702132</v>
      </c>
      <c r="AN14" s="48">
        <f>SUM(Z14:AK14)/AN$19</f>
        <v>0.11632337055897089</v>
      </c>
    </row>
    <row r="15" spans="1:40" ht="13" x14ac:dyDescent="0.3">
      <c r="A15" s="59" t="s">
        <v>55</v>
      </c>
      <c r="B15" s="52">
        <v>457441.33999999997</v>
      </c>
      <c r="C15" s="52">
        <v>333235.11</v>
      </c>
      <c r="D15" s="52">
        <v>375072.71</v>
      </c>
      <c r="E15" s="52">
        <v>405210.33</v>
      </c>
      <c r="F15" s="52">
        <v>518313.76599999995</v>
      </c>
      <c r="G15" s="52">
        <v>550178.64</v>
      </c>
      <c r="H15" s="52">
        <v>638157.47</v>
      </c>
      <c r="I15" s="52">
        <v>554575.07999999996</v>
      </c>
      <c r="J15" s="52">
        <v>458825.88</v>
      </c>
      <c r="K15" s="52">
        <v>431317.07</v>
      </c>
      <c r="L15" s="52">
        <v>377435.04000000004</v>
      </c>
      <c r="M15" s="52">
        <v>391970.27</v>
      </c>
      <c r="N15" s="52">
        <v>371640</v>
      </c>
      <c r="O15" s="52">
        <v>316859</v>
      </c>
      <c r="P15" s="52">
        <v>357584</v>
      </c>
      <c r="Q15" s="52">
        <v>360920</v>
      </c>
      <c r="R15" s="52">
        <v>457508</v>
      </c>
      <c r="S15" s="52">
        <v>511483</v>
      </c>
      <c r="T15" s="52">
        <v>550683</v>
      </c>
      <c r="U15" s="52">
        <v>509613</v>
      </c>
      <c r="V15" s="52">
        <v>401991</v>
      </c>
      <c r="W15" s="52">
        <v>394809</v>
      </c>
      <c r="X15" s="52">
        <v>325937</v>
      </c>
      <c r="Y15" s="52">
        <v>365995</v>
      </c>
      <c r="Z15" s="52">
        <v>291801.59999999998</v>
      </c>
      <c r="AA15" s="52">
        <v>293756.62</v>
      </c>
      <c r="AB15" s="52">
        <v>327972.86800000002</v>
      </c>
      <c r="AC15" s="52">
        <v>303715.96840000001</v>
      </c>
      <c r="AD15" s="52">
        <v>404633.07999999996</v>
      </c>
      <c r="AE15" s="52">
        <v>396186.86</v>
      </c>
      <c r="AF15" s="52">
        <v>477185.45999999996</v>
      </c>
      <c r="AG15" s="52">
        <v>420764.92000000004</v>
      </c>
      <c r="AH15" s="52">
        <v>346837.48000000004</v>
      </c>
      <c r="AI15" s="52">
        <v>294919.34000000003</v>
      </c>
      <c r="AJ15" s="52">
        <v>275827.35000000003</v>
      </c>
      <c r="AK15" s="53"/>
      <c r="AL15" s="48">
        <f t="shared" si="0"/>
        <v>1.7082125494850359E-2</v>
      </c>
      <c r="AM15" s="48">
        <f t="shared" si="1"/>
        <v>1.5567657343490679E-2</v>
      </c>
      <c r="AN15" s="48">
        <f t="shared" si="2"/>
        <v>1.3730418677201249E-2</v>
      </c>
    </row>
    <row r="16" spans="1:40" ht="13" x14ac:dyDescent="0.3">
      <c r="A16" s="59" t="s">
        <v>56</v>
      </c>
      <c r="B16" s="52">
        <v>973151.73</v>
      </c>
      <c r="C16" s="52">
        <v>737776.07000000007</v>
      </c>
      <c r="D16" s="52">
        <v>871720.13</v>
      </c>
      <c r="E16" s="52">
        <v>908234.72999999986</v>
      </c>
      <c r="F16" s="52">
        <v>1133885.24</v>
      </c>
      <c r="G16" s="52">
        <v>1152555.3</v>
      </c>
      <c r="H16" s="52">
        <v>1308560.6700000002</v>
      </c>
      <c r="I16" s="52">
        <v>1190018.6700000002</v>
      </c>
      <c r="J16" s="52">
        <v>1066990.17</v>
      </c>
      <c r="K16" s="52">
        <v>993710.72</v>
      </c>
      <c r="L16" s="52">
        <v>881994.91999999993</v>
      </c>
      <c r="M16" s="52">
        <v>954042.31</v>
      </c>
      <c r="N16" s="52">
        <v>891785</v>
      </c>
      <c r="O16" s="52">
        <v>792093</v>
      </c>
      <c r="P16" s="52">
        <v>899988</v>
      </c>
      <c r="Q16" s="52">
        <v>928341</v>
      </c>
      <c r="R16" s="52">
        <v>1098934</v>
      </c>
      <c r="S16" s="52">
        <v>1188382</v>
      </c>
      <c r="T16" s="52">
        <v>1266759</v>
      </c>
      <c r="U16" s="52">
        <v>1199593</v>
      </c>
      <c r="V16" s="52">
        <v>1046433</v>
      </c>
      <c r="W16" s="52">
        <v>980817</v>
      </c>
      <c r="X16" s="52">
        <v>901632</v>
      </c>
      <c r="Y16" s="52">
        <v>1001789</v>
      </c>
      <c r="Z16" s="52">
        <v>798773.19000000006</v>
      </c>
      <c r="AA16" s="52">
        <v>840065.87</v>
      </c>
      <c r="AB16" s="52">
        <v>903132.01000000013</v>
      </c>
      <c r="AC16" s="52">
        <v>905355.61229999992</v>
      </c>
      <c r="AD16" s="52">
        <v>1136086.47</v>
      </c>
      <c r="AE16" s="52">
        <v>1122088.3</v>
      </c>
      <c r="AF16" s="52">
        <v>1175972.3699999999</v>
      </c>
      <c r="AG16" s="52">
        <v>1079605.72</v>
      </c>
      <c r="AH16" s="52">
        <v>926280.57999999984</v>
      </c>
      <c r="AI16" s="52">
        <v>884719.8600000001</v>
      </c>
      <c r="AJ16" s="52">
        <v>849813.83000000007</v>
      </c>
      <c r="AK16" s="53"/>
      <c r="AL16" s="48">
        <f t="shared" si="0"/>
        <v>3.7863200284795159E-2</v>
      </c>
      <c r="AM16" s="48">
        <f t="shared" si="1"/>
        <v>3.8552446852444897E-2</v>
      </c>
      <c r="AN16" s="48">
        <f t="shared" si="2"/>
        <v>3.8043350990560915E-2</v>
      </c>
    </row>
    <row r="17" spans="1:40" ht="13" x14ac:dyDescent="0.3">
      <c r="A17" s="59" t="s">
        <v>57</v>
      </c>
      <c r="B17" s="52">
        <v>581218.80000000005</v>
      </c>
      <c r="C17" s="52">
        <v>409952.43</v>
      </c>
      <c r="D17" s="52">
        <v>494302.26999999996</v>
      </c>
      <c r="E17" s="52">
        <v>512675.01999999996</v>
      </c>
      <c r="F17" s="52">
        <v>658584.81000000006</v>
      </c>
      <c r="G17" s="52">
        <v>676231.85999999987</v>
      </c>
      <c r="H17" s="52">
        <v>765656.07000000007</v>
      </c>
      <c r="I17" s="52">
        <v>700539.47000000009</v>
      </c>
      <c r="J17" s="52">
        <v>593822.28</v>
      </c>
      <c r="K17" s="52">
        <v>545804.93000000005</v>
      </c>
      <c r="L17" s="52">
        <v>490107.99000000005</v>
      </c>
      <c r="M17" s="52">
        <v>520763.84</v>
      </c>
      <c r="N17" s="52">
        <v>564164</v>
      </c>
      <c r="O17" s="52">
        <v>481984</v>
      </c>
      <c r="P17" s="52">
        <v>536267</v>
      </c>
      <c r="Q17" s="52">
        <v>556003</v>
      </c>
      <c r="R17" s="52">
        <v>593292</v>
      </c>
      <c r="S17" s="52">
        <v>677097</v>
      </c>
      <c r="T17" s="52">
        <v>721378</v>
      </c>
      <c r="U17" s="52">
        <v>701736</v>
      </c>
      <c r="V17" s="52">
        <v>557322</v>
      </c>
      <c r="W17" s="52">
        <v>529335</v>
      </c>
      <c r="X17" s="52">
        <v>510666</v>
      </c>
      <c r="Y17" s="52">
        <v>553881</v>
      </c>
      <c r="Z17" s="52">
        <v>439423.63</v>
      </c>
      <c r="AA17" s="52">
        <v>475031.52</v>
      </c>
      <c r="AB17" s="52">
        <v>505218.04999999993</v>
      </c>
      <c r="AC17" s="52">
        <v>523051.03969999996</v>
      </c>
      <c r="AD17" s="52">
        <v>672274.65999999992</v>
      </c>
      <c r="AE17" s="52">
        <v>675911.46</v>
      </c>
      <c r="AF17" s="52">
        <v>718622.10999999987</v>
      </c>
      <c r="AG17" s="52">
        <v>669470.06999999995</v>
      </c>
      <c r="AH17" s="52">
        <v>568775</v>
      </c>
      <c r="AI17" s="52">
        <v>534433.17999999993</v>
      </c>
      <c r="AJ17" s="52">
        <v>488917.73000000004</v>
      </c>
      <c r="AK17" s="53"/>
      <c r="AL17" s="48">
        <f t="shared" si="0"/>
        <v>2.1617031762662206E-2</v>
      </c>
      <c r="AM17" s="48">
        <f t="shared" si="1"/>
        <v>2.207318001559452E-2</v>
      </c>
      <c r="AN17" s="48">
        <f t="shared" si="2"/>
        <v>2.2460659552307246E-2</v>
      </c>
    </row>
    <row r="18" spans="1:40" x14ac:dyDescent="0.25">
      <c r="AL18" s="49">
        <f>SUM(AL3:AL17)</f>
        <v>1</v>
      </c>
      <c r="AM18" s="49">
        <f>SUM(AM3:AM17)</f>
        <v>0.99999999999999989</v>
      </c>
      <c r="AN18" s="49">
        <f>SUM(AN3:AN17)</f>
        <v>1</v>
      </c>
    </row>
    <row r="19" spans="1:40" ht="13" x14ac:dyDescent="0.3">
      <c r="N19" s="153" t="s">
        <v>58</v>
      </c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3" t="s">
        <v>59</v>
      </c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5"/>
      <c r="AL19" s="50">
        <f>SUM(B3:M17)</f>
        <v>321490010.57599998</v>
      </c>
      <c r="AM19" s="50">
        <f>SUM(N3:Y17)</f>
        <v>316362436</v>
      </c>
      <c r="AN19" s="50">
        <f>SUM(Z3:AK17)</f>
        <v>279204999.97320002</v>
      </c>
    </row>
    <row r="20" spans="1:40" ht="13" x14ac:dyDescent="0.3">
      <c r="A20" s="51" t="s">
        <v>60</v>
      </c>
      <c r="N20" s="44">
        <v>1</v>
      </c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</v>
      </c>
      <c r="AA20" s="44">
        <v>2</v>
      </c>
      <c r="AB20" s="44">
        <v>3</v>
      </c>
      <c r="AC20" s="44">
        <v>4</v>
      </c>
      <c r="AD20" s="44">
        <v>5</v>
      </c>
      <c r="AE20" s="44">
        <v>6</v>
      </c>
      <c r="AF20" s="44">
        <v>7</v>
      </c>
      <c r="AG20" s="44">
        <v>8</v>
      </c>
      <c r="AH20" s="44">
        <v>9</v>
      </c>
      <c r="AI20" s="44">
        <v>10</v>
      </c>
      <c r="AJ20" s="44">
        <v>11</v>
      </c>
      <c r="AK20" s="44">
        <v>12</v>
      </c>
    </row>
    <row r="21" spans="1:40" ht="13" x14ac:dyDescent="0.3">
      <c r="A21" s="51" t="s">
        <v>43</v>
      </c>
      <c r="N21" s="52">
        <f t="shared" ref="N21:Y35" si="3">(N3-B3)</f>
        <v>-1104912.7299999986</v>
      </c>
      <c r="O21" s="52">
        <f t="shared" si="3"/>
        <v>413197.57000000216</v>
      </c>
      <c r="P21" s="52">
        <f t="shared" si="3"/>
        <v>102308.01999999769</v>
      </c>
      <c r="Q21" s="52">
        <f t="shared" si="3"/>
        <v>-124997.84000000358</v>
      </c>
      <c r="R21" s="52">
        <f t="shared" si="3"/>
        <v>-390075.0800000038</v>
      </c>
      <c r="S21" s="52">
        <f t="shared" si="3"/>
        <v>227415.77000000142</v>
      </c>
      <c r="T21" s="52">
        <f t="shared" si="3"/>
        <v>-390246.09999999776</v>
      </c>
      <c r="U21" s="52">
        <f t="shared" si="3"/>
        <v>-25929.120000002906</v>
      </c>
      <c r="V21" s="52">
        <f t="shared" si="3"/>
        <v>-265461.88999999873</v>
      </c>
      <c r="W21" s="52">
        <f t="shared" si="3"/>
        <v>-226822.00999999791</v>
      </c>
      <c r="X21" s="52">
        <f t="shared" si="3"/>
        <v>-64177.529999999329</v>
      </c>
      <c r="Y21" s="52">
        <f>(Y3-M3)</f>
        <v>446340.34000000358</v>
      </c>
      <c r="Z21" s="52">
        <f t="shared" ref="Z21:Z35" si="4">Z3-N3</f>
        <v>-644727.87000000291</v>
      </c>
      <c r="AA21" s="52">
        <f t="shared" ref="AA21:AA35" si="5">AA3-O3</f>
        <v>256664.2598999925</v>
      </c>
      <c r="AB21" s="52">
        <f t="shared" ref="AB21:AB35" si="6">AB3-P3</f>
        <v>-88426.790000000969</v>
      </c>
      <c r="AC21" s="52">
        <f t="shared" ref="AC21:AC35" si="7">AC3-Q3</f>
        <v>-535695.13849999942</v>
      </c>
      <c r="AD21" s="52">
        <f t="shared" ref="AD21:AD35" si="8">AD3-R3</f>
        <v>84482.420100005344</v>
      </c>
      <c r="AE21" s="52">
        <f t="shared" ref="AE21:AE35" si="9">AE3-S3</f>
        <v>-512657.86000000313</v>
      </c>
      <c r="AF21" s="52">
        <f t="shared" ref="AF21:AF35" si="10">AF3-T3</f>
        <v>-417504.92999999598</v>
      </c>
      <c r="AG21" s="52">
        <f t="shared" ref="AG21:AG35" si="11">AG3-U3</f>
        <v>-665187.93000000156</v>
      </c>
      <c r="AH21" s="52">
        <f t="shared" ref="AH21:AH35" si="12">AH3-V3</f>
        <v>-963159.34999999963</v>
      </c>
      <c r="AI21" s="52">
        <f t="shared" ref="AI21:AI35" si="13">AI3-W3</f>
        <v>-715243.00999999605</v>
      </c>
      <c r="AJ21" s="52">
        <f t="shared" ref="AJ21:AJ35" si="14">AJ3-X3</f>
        <v>-69602.400000004098</v>
      </c>
      <c r="AK21" s="52"/>
    </row>
    <row r="22" spans="1:40" ht="13" x14ac:dyDescent="0.3">
      <c r="A22" s="51" t="s">
        <v>44</v>
      </c>
      <c r="N22" s="52">
        <f t="shared" si="3"/>
        <v>-23891.73000000001</v>
      </c>
      <c r="O22" s="52">
        <f t="shared" si="3"/>
        <v>6543.8199999999924</v>
      </c>
      <c r="P22" s="52">
        <f t="shared" si="3"/>
        <v>-3445.75</v>
      </c>
      <c r="Q22" s="52">
        <f t="shared" si="3"/>
        <v>-2070.1199999999953</v>
      </c>
      <c r="R22" s="52">
        <f t="shared" si="3"/>
        <v>-13583.099999999977</v>
      </c>
      <c r="S22" s="52">
        <f t="shared" si="3"/>
        <v>2768.6699999999837</v>
      </c>
      <c r="T22" s="52">
        <f t="shared" si="3"/>
        <v>-16202.609999999986</v>
      </c>
      <c r="U22" s="52">
        <f t="shared" si="3"/>
        <v>-3797.2900000000081</v>
      </c>
      <c r="V22" s="52">
        <f t="shared" si="3"/>
        <v>-8349.6700000000128</v>
      </c>
      <c r="W22" s="52">
        <f t="shared" si="3"/>
        <v>-5227.1399999999849</v>
      </c>
      <c r="X22" s="52">
        <f t="shared" si="3"/>
        <v>-3255.75</v>
      </c>
      <c r="Y22" s="52">
        <f t="shared" si="3"/>
        <v>8736.1900000000023</v>
      </c>
      <c r="Z22" s="52">
        <f t="shared" si="4"/>
        <v>-11339.210000000006</v>
      </c>
      <c r="AA22" s="52">
        <f t="shared" si="5"/>
        <v>4249.5100000000093</v>
      </c>
      <c r="AB22" s="52">
        <f t="shared" si="6"/>
        <v>-3236.2399999999907</v>
      </c>
      <c r="AC22" s="52">
        <f t="shared" si="7"/>
        <v>-5352.7200000000012</v>
      </c>
      <c r="AD22" s="52">
        <f t="shared" si="8"/>
        <v>77794.200000000012</v>
      </c>
      <c r="AE22" s="52">
        <f t="shared" si="9"/>
        <v>-47520.270000000019</v>
      </c>
      <c r="AF22" s="52">
        <f t="shared" si="10"/>
        <v>8742.429999999993</v>
      </c>
      <c r="AG22" s="52">
        <f t="shared" si="11"/>
        <v>-2640.6900000000023</v>
      </c>
      <c r="AH22" s="52">
        <f t="shared" si="12"/>
        <v>-5098.6800000000221</v>
      </c>
      <c r="AI22" s="52">
        <f t="shared" si="13"/>
        <v>944.28999999997905</v>
      </c>
      <c r="AJ22" s="52">
        <f t="shared" si="14"/>
        <v>11752.339999999997</v>
      </c>
      <c r="AK22" s="52"/>
    </row>
    <row r="23" spans="1:40" ht="13" x14ac:dyDescent="0.3">
      <c r="A23" s="51" t="s">
        <v>45</v>
      </c>
      <c r="N23" s="52">
        <f t="shared" si="3"/>
        <v>-135561.85000000009</v>
      </c>
      <c r="O23" s="52">
        <f t="shared" si="3"/>
        <v>3766.8899999998976</v>
      </c>
      <c r="P23" s="52">
        <f t="shared" si="3"/>
        <v>23331.020000000019</v>
      </c>
      <c r="Q23" s="52">
        <f t="shared" si="3"/>
        <v>-53867.689999999944</v>
      </c>
      <c r="R23" s="52">
        <f t="shared" si="3"/>
        <v>-63088.019999999786</v>
      </c>
      <c r="S23" s="52">
        <f t="shared" si="3"/>
        <v>2631.0200000000186</v>
      </c>
      <c r="T23" s="52">
        <f t="shared" si="3"/>
        <v>-64595.520000000019</v>
      </c>
      <c r="U23" s="52">
        <f t="shared" si="3"/>
        <v>26573.729999999981</v>
      </c>
      <c r="V23" s="52">
        <f t="shared" si="3"/>
        <v>-13873.969999999972</v>
      </c>
      <c r="W23" s="52">
        <f t="shared" si="3"/>
        <v>38986.490000000224</v>
      </c>
      <c r="X23" s="52">
        <f t="shared" si="3"/>
        <v>-37870.680000000168</v>
      </c>
      <c r="Y23" s="52">
        <f t="shared" si="3"/>
        <v>-5598.3500000000931</v>
      </c>
      <c r="Z23" s="52">
        <f t="shared" si="4"/>
        <v>-110025.68000000017</v>
      </c>
      <c r="AA23" s="52">
        <f t="shared" si="5"/>
        <v>27673.150000000023</v>
      </c>
      <c r="AB23" s="52">
        <f t="shared" si="6"/>
        <v>-86948.85999999987</v>
      </c>
      <c r="AC23" s="52">
        <f t="shared" si="7"/>
        <v>-60536.806700000074</v>
      </c>
      <c r="AD23" s="52">
        <f t="shared" si="8"/>
        <v>-72921.130000000121</v>
      </c>
      <c r="AE23" s="52">
        <f t="shared" si="9"/>
        <v>-180045.07999999984</v>
      </c>
      <c r="AF23" s="52">
        <f t="shared" si="10"/>
        <v>-141486.47999999975</v>
      </c>
      <c r="AG23" s="52">
        <f t="shared" si="11"/>
        <v>-189437.6100000001</v>
      </c>
      <c r="AH23" s="52">
        <f t="shared" si="12"/>
        <v>-162752.83000000007</v>
      </c>
      <c r="AI23" s="52">
        <f t="shared" si="13"/>
        <v>-123972.1399999999</v>
      </c>
      <c r="AJ23" s="52">
        <f t="shared" si="14"/>
        <v>-21328.790000000037</v>
      </c>
      <c r="AK23" s="52"/>
    </row>
    <row r="24" spans="1:40" ht="13" x14ac:dyDescent="0.3">
      <c r="A24" s="51" t="s">
        <v>46</v>
      </c>
      <c r="N24" s="52">
        <f t="shared" si="3"/>
        <v>-37398.569999999949</v>
      </c>
      <c r="O24" s="52">
        <f t="shared" si="3"/>
        <v>4794.4099999999162</v>
      </c>
      <c r="P24" s="52">
        <f t="shared" si="3"/>
        <v>-13482.560000000056</v>
      </c>
      <c r="Q24" s="52">
        <f t="shared" si="3"/>
        <v>14852.54999999993</v>
      </c>
      <c r="R24" s="52">
        <f t="shared" si="3"/>
        <v>67055.780000000028</v>
      </c>
      <c r="S24" s="52">
        <f t="shared" si="3"/>
        <v>7487.0699999999488</v>
      </c>
      <c r="T24" s="52">
        <f t="shared" si="3"/>
        <v>-36306.830000000075</v>
      </c>
      <c r="U24" s="52">
        <f t="shared" si="3"/>
        <v>-8781.7800000000279</v>
      </c>
      <c r="V24" s="52">
        <f t="shared" si="3"/>
        <v>-9258.1699999999255</v>
      </c>
      <c r="W24" s="52">
        <f t="shared" si="3"/>
        <v>4626.5700000000652</v>
      </c>
      <c r="X24" s="52">
        <f t="shared" si="3"/>
        <v>16065.399999999907</v>
      </c>
      <c r="Y24" s="52">
        <f t="shared" si="3"/>
        <v>34855.320000000065</v>
      </c>
      <c r="Z24" s="52">
        <f t="shared" si="4"/>
        <v>-77120.609999999986</v>
      </c>
      <c r="AA24" s="52">
        <f t="shared" si="5"/>
        <v>394.78000000002794</v>
      </c>
      <c r="AB24" s="52">
        <f t="shared" si="6"/>
        <v>1091.9699999999721</v>
      </c>
      <c r="AC24" s="52">
        <f t="shared" si="7"/>
        <v>-14559.547699999879</v>
      </c>
      <c r="AD24" s="52">
        <f t="shared" si="8"/>
        <v>6656.4699999999721</v>
      </c>
      <c r="AE24" s="52">
        <f t="shared" si="9"/>
        <v>-32989.970000000088</v>
      </c>
      <c r="AF24" s="52">
        <f t="shared" si="10"/>
        <v>-55513.760000000009</v>
      </c>
      <c r="AG24" s="52">
        <f t="shared" si="11"/>
        <v>-59989.469999999972</v>
      </c>
      <c r="AH24" s="52">
        <f t="shared" si="12"/>
        <v>-60048.959999999963</v>
      </c>
      <c r="AI24" s="52">
        <f t="shared" si="13"/>
        <v>-30273.600000000093</v>
      </c>
      <c r="AJ24" s="52">
        <f t="shared" si="14"/>
        <v>19205.370000000112</v>
      </c>
      <c r="AK24" s="52"/>
    </row>
    <row r="25" spans="1:40" ht="13" x14ac:dyDescent="0.3">
      <c r="A25" s="51" t="s">
        <v>47</v>
      </c>
      <c r="N25" s="52">
        <f t="shared" si="3"/>
        <v>-62330.29999999993</v>
      </c>
      <c r="O25" s="52">
        <f t="shared" si="3"/>
        <v>50855.700000000012</v>
      </c>
      <c r="P25" s="52">
        <f t="shared" si="3"/>
        <v>23551.060000000056</v>
      </c>
      <c r="Q25" s="52">
        <f t="shared" si="3"/>
        <v>2563.0599999999395</v>
      </c>
      <c r="R25" s="52">
        <f t="shared" si="3"/>
        <v>-52370.280000000028</v>
      </c>
      <c r="S25" s="52">
        <f t="shared" si="3"/>
        <v>19442.29999999993</v>
      </c>
      <c r="T25" s="52">
        <f t="shared" si="3"/>
        <v>-12720.669999999809</v>
      </c>
      <c r="U25" s="52">
        <f t="shared" si="3"/>
        <v>26765.710000000079</v>
      </c>
      <c r="V25" s="52">
        <f t="shared" si="3"/>
        <v>-17605.29999999993</v>
      </c>
      <c r="W25" s="52">
        <f t="shared" si="3"/>
        <v>-14974.04999999993</v>
      </c>
      <c r="X25" s="52">
        <f t="shared" si="3"/>
        <v>35960.069999999949</v>
      </c>
      <c r="Y25" s="52">
        <f t="shared" si="3"/>
        <v>27247.180000000051</v>
      </c>
      <c r="Z25" s="52">
        <f t="shared" si="4"/>
        <v>-50947.159999999974</v>
      </c>
      <c r="AA25" s="52">
        <f t="shared" si="5"/>
        <v>1189.6300000000047</v>
      </c>
      <c r="AB25" s="52">
        <f t="shared" si="6"/>
        <v>-11700.470000000088</v>
      </c>
      <c r="AC25" s="52">
        <f t="shared" si="7"/>
        <v>-15250.457599999965</v>
      </c>
      <c r="AD25" s="52">
        <f t="shared" si="8"/>
        <v>52243.259999999893</v>
      </c>
      <c r="AE25" s="52">
        <f t="shared" si="9"/>
        <v>11129.720000000205</v>
      </c>
      <c r="AF25" s="52">
        <f t="shared" si="10"/>
        <v>-13474.389999999898</v>
      </c>
      <c r="AG25" s="52">
        <f t="shared" si="11"/>
        <v>-17447.679999999935</v>
      </c>
      <c r="AH25" s="52">
        <f t="shared" si="12"/>
        <v>-20741.459999999963</v>
      </c>
      <c r="AI25" s="52">
        <f t="shared" si="13"/>
        <v>3620.9799999999814</v>
      </c>
      <c r="AJ25" s="52">
        <f t="shared" si="14"/>
        <v>6636.859999999986</v>
      </c>
      <c r="AK25" s="52"/>
    </row>
    <row r="26" spans="1:40" ht="13" x14ac:dyDescent="0.3">
      <c r="A26" s="51" t="s">
        <v>48</v>
      </c>
      <c r="N26" s="52">
        <f t="shared" si="3"/>
        <v>-27272.52999999997</v>
      </c>
      <c r="O26" s="52">
        <f t="shared" si="3"/>
        <v>39184.400000000023</v>
      </c>
      <c r="P26" s="52">
        <f t="shared" si="3"/>
        <v>1962.3399999999674</v>
      </c>
      <c r="Q26" s="52">
        <f t="shared" si="3"/>
        <v>19771.710000000021</v>
      </c>
      <c r="R26" s="52">
        <f t="shared" si="3"/>
        <v>-13819.630000000005</v>
      </c>
      <c r="S26" s="52">
        <f t="shared" si="3"/>
        <v>-18353.5</v>
      </c>
      <c r="T26" s="52">
        <f t="shared" si="3"/>
        <v>-62211.40000000014</v>
      </c>
      <c r="U26" s="52">
        <f t="shared" si="3"/>
        <v>-57333.260000000009</v>
      </c>
      <c r="V26" s="52">
        <f t="shared" si="3"/>
        <v>-70223.38</v>
      </c>
      <c r="W26" s="52">
        <f t="shared" si="3"/>
        <v>-70931.449999999953</v>
      </c>
      <c r="X26" s="52">
        <f t="shared" si="3"/>
        <v>-136744.38000000012</v>
      </c>
      <c r="Y26" s="52">
        <f t="shared" si="3"/>
        <v>-142379.31000000006</v>
      </c>
      <c r="Z26" s="52">
        <f t="shared" si="4"/>
        <v>-107066.05000000005</v>
      </c>
      <c r="AA26" s="52">
        <f t="shared" si="5"/>
        <v>-64622.630000000005</v>
      </c>
      <c r="AB26" s="52">
        <f t="shared" si="6"/>
        <v>-75451.350000000035</v>
      </c>
      <c r="AC26" s="52">
        <f t="shared" si="7"/>
        <v>-104121.80569999991</v>
      </c>
      <c r="AD26" s="52">
        <f t="shared" si="8"/>
        <v>-96944.010000000009</v>
      </c>
      <c r="AE26" s="52">
        <f t="shared" si="9"/>
        <v>-205027.95999999996</v>
      </c>
      <c r="AF26" s="52">
        <f t="shared" si="10"/>
        <v>-214430.8600000001</v>
      </c>
      <c r="AG26" s="52">
        <f t="shared" si="11"/>
        <v>-177618.84000000008</v>
      </c>
      <c r="AH26" s="52">
        <f t="shared" si="12"/>
        <v>-162185.33999999997</v>
      </c>
      <c r="AI26" s="52">
        <f t="shared" si="13"/>
        <v>-129376.53000000003</v>
      </c>
      <c r="AJ26" s="52">
        <f t="shared" si="14"/>
        <v>-3494.2200000000303</v>
      </c>
      <c r="AK26" s="52"/>
    </row>
    <row r="27" spans="1:40" ht="13" x14ac:dyDescent="0.3">
      <c r="A27" s="51" t="s">
        <v>49</v>
      </c>
      <c r="N27" s="52">
        <f t="shared" si="3"/>
        <v>-272259.94999999995</v>
      </c>
      <c r="O27" s="52">
        <f t="shared" si="3"/>
        <v>-51812.270000000019</v>
      </c>
      <c r="P27" s="52">
        <f t="shared" si="3"/>
        <v>-21646.550000000047</v>
      </c>
      <c r="Q27" s="52">
        <f t="shared" si="3"/>
        <v>-32532.060000000056</v>
      </c>
      <c r="R27" s="52">
        <f t="shared" si="3"/>
        <v>-97727.649999999907</v>
      </c>
      <c r="S27" s="52">
        <f t="shared" si="3"/>
        <v>22265.120000000112</v>
      </c>
      <c r="T27" s="52">
        <f t="shared" si="3"/>
        <v>-44341.280000000028</v>
      </c>
      <c r="U27" s="52">
        <f t="shared" si="3"/>
        <v>13379.10999999987</v>
      </c>
      <c r="V27" s="52">
        <f t="shared" si="3"/>
        <v>16438.520000000019</v>
      </c>
      <c r="W27" s="52">
        <f t="shared" si="3"/>
        <v>9293.9899999999907</v>
      </c>
      <c r="X27" s="52">
        <f t="shared" si="3"/>
        <v>-1296.2800000002608</v>
      </c>
      <c r="Y27" s="52">
        <f t="shared" si="3"/>
        <v>103258.54000000004</v>
      </c>
      <c r="Z27" s="52">
        <f t="shared" si="4"/>
        <v>80400.889999999898</v>
      </c>
      <c r="AA27" s="52">
        <f t="shared" si="5"/>
        <v>126442.39000000001</v>
      </c>
      <c r="AB27" s="52">
        <f t="shared" si="6"/>
        <v>6547.7999999998137</v>
      </c>
      <c r="AC27" s="52">
        <f t="shared" si="7"/>
        <v>-9293.654099999927</v>
      </c>
      <c r="AD27" s="52">
        <f t="shared" si="8"/>
        <v>86362.590000000084</v>
      </c>
      <c r="AE27" s="52">
        <f t="shared" si="9"/>
        <v>-32660.720000000205</v>
      </c>
      <c r="AF27" s="52">
        <f t="shared" si="10"/>
        <v>-29932.05999999959</v>
      </c>
      <c r="AG27" s="52">
        <f t="shared" si="11"/>
        <v>-77402.850000000093</v>
      </c>
      <c r="AH27" s="52">
        <f t="shared" si="12"/>
        <v>-98599.979999999981</v>
      </c>
      <c r="AI27" s="52">
        <f t="shared" si="13"/>
        <v>-72188.880000000121</v>
      </c>
      <c r="AJ27" s="52">
        <f t="shared" si="14"/>
        <v>-6980.6699999999255</v>
      </c>
      <c r="AK27" s="52"/>
    </row>
    <row r="28" spans="1:40" ht="13" x14ac:dyDescent="0.3">
      <c r="A28" s="51" t="s">
        <v>50</v>
      </c>
      <c r="N28" s="52">
        <f t="shared" si="3"/>
        <v>-254367.96999999997</v>
      </c>
      <c r="O28" s="52">
        <f t="shared" si="3"/>
        <v>71188.59999999986</v>
      </c>
      <c r="P28" s="52">
        <f t="shared" si="3"/>
        <v>-13917.84999999986</v>
      </c>
      <c r="Q28" s="52">
        <f t="shared" si="3"/>
        <v>-18187.229999999981</v>
      </c>
      <c r="R28" s="52">
        <f t="shared" si="3"/>
        <v>-90345.44000000041</v>
      </c>
      <c r="S28" s="52">
        <f t="shared" si="3"/>
        <v>11413.549999999814</v>
      </c>
      <c r="T28" s="52">
        <f t="shared" si="3"/>
        <v>-116940.06000000006</v>
      </c>
      <c r="U28" s="52">
        <f t="shared" si="3"/>
        <v>-94194.150000000373</v>
      </c>
      <c r="V28" s="52">
        <f t="shared" si="3"/>
        <v>-390147.87999999989</v>
      </c>
      <c r="W28" s="52">
        <f t="shared" si="3"/>
        <v>-52903.989999999991</v>
      </c>
      <c r="X28" s="52">
        <f t="shared" si="3"/>
        <v>9098.6399999998976</v>
      </c>
      <c r="Y28" s="52">
        <f t="shared" si="3"/>
        <v>163297.05000000028</v>
      </c>
      <c r="Z28" s="52">
        <f t="shared" si="4"/>
        <v>-65111.39000000013</v>
      </c>
      <c r="AA28" s="52">
        <f t="shared" si="5"/>
        <v>103576.58000000031</v>
      </c>
      <c r="AB28" s="52">
        <f t="shared" si="6"/>
        <v>58754.779999999795</v>
      </c>
      <c r="AC28" s="52">
        <f t="shared" si="7"/>
        <v>50042.568000000436</v>
      </c>
      <c r="AD28" s="52">
        <f t="shared" si="8"/>
        <v>169034.23999999976</v>
      </c>
      <c r="AE28" s="52">
        <f t="shared" si="9"/>
        <v>15950.269999999786</v>
      </c>
      <c r="AF28" s="52">
        <f t="shared" si="10"/>
        <v>98454.590000000317</v>
      </c>
      <c r="AG28" s="52">
        <f t="shared" si="11"/>
        <v>112072.09000000078</v>
      </c>
      <c r="AH28" s="52">
        <f t="shared" si="12"/>
        <v>12359.459999999963</v>
      </c>
      <c r="AI28" s="52">
        <f t="shared" si="13"/>
        <v>-11804.419999999693</v>
      </c>
      <c r="AJ28" s="52">
        <f t="shared" si="14"/>
        <v>47162.160000000149</v>
      </c>
      <c r="AK28" s="52"/>
    </row>
    <row r="29" spans="1:40" ht="13" x14ac:dyDescent="0.3">
      <c r="A29" s="51" t="s">
        <v>51</v>
      </c>
      <c r="N29" s="52">
        <f t="shared" si="3"/>
        <v>-37089.010000000068</v>
      </c>
      <c r="O29" s="52">
        <f t="shared" si="3"/>
        <v>24044.520000000019</v>
      </c>
      <c r="P29" s="52">
        <f t="shared" si="3"/>
        <v>-963.40000000002328</v>
      </c>
      <c r="Q29" s="52">
        <f t="shared" si="3"/>
        <v>-29339.089999999967</v>
      </c>
      <c r="R29" s="52">
        <f t="shared" si="3"/>
        <v>-34881.310000000056</v>
      </c>
      <c r="S29" s="52">
        <f t="shared" si="3"/>
        <v>15107.119999999995</v>
      </c>
      <c r="T29" s="52">
        <f t="shared" si="3"/>
        <v>-231.93999999994412</v>
      </c>
      <c r="U29" s="52">
        <f t="shared" si="3"/>
        <v>9725.6700000000419</v>
      </c>
      <c r="V29" s="52">
        <f t="shared" si="3"/>
        <v>-1184.7399999999907</v>
      </c>
      <c r="W29" s="52">
        <f t="shared" si="3"/>
        <v>150904.81</v>
      </c>
      <c r="X29" s="52">
        <f t="shared" si="3"/>
        <v>-45061.330000000016</v>
      </c>
      <c r="Y29" s="52">
        <f t="shared" si="3"/>
        <v>-19791.130000000005</v>
      </c>
      <c r="Z29" s="52">
        <f t="shared" si="4"/>
        <v>-77562.679999999993</v>
      </c>
      <c r="AA29" s="52">
        <f t="shared" si="5"/>
        <v>-19898.940000000002</v>
      </c>
      <c r="AB29" s="52">
        <f t="shared" si="6"/>
        <v>-32863.359999999986</v>
      </c>
      <c r="AC29" s="52">
        <f t="shared" si="7"/>
        <v>-24403.085300000035</v>
      </c>
      <c r="AD29" s="52">
        <f t="shared" si="8"/>
        <v>-23484.060000000056</v>
      </c>
      <c r="AE29" s="52">
        <f t="shared" si="9"/>
        <v>-78382.979999999981</v>
      </c>
      <c r="AF29" s="52">
        <f t="shared" si="10"/>
        <v>-131380.91000000003</v>
      </c>
      <c r="AG29" s="52">
        <f t="shared" si="11"/>
        <v>-116407.72000000003</v>
      </c>
      <c r="AH29" s="52">
        <f t="shared" si="12"/>
        <v>-90706.839999999967</v>
      </c>
      <c r="AI29" s="52">
        <f t="shared" si="13"/>
        <v>-197621.53999999998</v>
      </c>
      <c r="AJ29" s="52">
        <f t="shared" si="14"/>
        <v>13356.380000000005</v>
      </c>
      <c r="AK29" s="52"/>
    </row>
    <row r="30" spans="1:40" ht="13" x14ac:dyDescent="0.3">
      <c r="A30" s="51" t="s">
        <v>52</v>
      </c>
      <c r="N30" s="52">
        <f t="shared" si="3"/>
        <v>-67729.900000000023</v>
      </c>
      <c r="O30" s="52">
        <f t="shared" si="3"/>
        <v>28606.029999999912</v>
      </c>
      <c r="P30" s="52">
        <f t="shared" si="3"/>
        <v>7901.3899999998976</v>
      </c>
      <c r="Q30" s="52">
        <f t="shared" si="3"/>
        <v>-11963.150000000023</v>
      </c>
      <c r="R30" s="52">
        <f t="shared" si="3"/>
        <v>-21509.860000000102</v>
      </c>
      <c r="S30" s="52">
        <f t="shared" si="3"/>
        <v>52521.440000000061</v>
      </c>
      <c r="T30" s="52">
        <f t="shared" si="3"/>
        <v>-7486.9200000000419</v>
      </c>
      <c r="U30" s="52">
        <f t="shared" si="3"/>
        <v>28260.260000000009</v>
      </c>
      <c r="V30" s="52">
        <f t="shared" si="3"/>
        <v>8969.7100000000792</v>
      </c>
      <c r="W30" s="52">
        <f t="shared" si="3"/>
        <v>-13863.530000000144</v>
      </c>
      <c r="X30" s="52">
        <f t="shared" si="3"/>
        <v>-3300.1800000000512</v>
      </c>
      <c r="Y30" s="52">
        <f t="shared" si="3"/>
        <v>29262.910000000033</v>
      </c>
      <c r="Z30" s="52">
        <f t="shared" si="4"/>
        <v>-32512.619999999879</v>
      </c>
      <c r="AA30" s="52">
        <f t="shared" si="5"/>
        <v>35143.209999999963</v>
      </c>
      <c r="AB30" s="52">
        <f t="shared" si="6"/>
        <v>5683.7000000000698</v>
      </c>
      <c r="AC30" s="52">
        <f t="shared" si="7"/>
        <v>-3356.7214000000386</v>
      </c>
      <c r="AD30" s="52">
        <f t="shared" si="8"/>
        <v>33590.689999999944</v>
      </c>
      <c r="AE30" s="52">
        <f t="shared" si="9"/>
        <v>-39645.420000000042</v>
      </c>
      <c r="AF30" s="52">
        <f t="shared" si="10"/>
        <v>-44349.489999999991</v>
      </c>
      <c r="AG30" s="52">
        <f t="shared" si="11"/>
        <v>-36199.520000000019</v>
      </c>
      <c r="AH30" s="52">
        <f t="shared" si="12"/>
        <v>-44086.059999999939</v>
      </c>
      <c r="AI30" s="52">
        <f t="shared" si="13"/>
        <v>-8262.890000000014</v>
      </c>
      <c r="AJ30" s="52">
        <f t="shared" si="14"/>
        <v>17075.910000000033</v>
      </c>
      <c r="AK30" s="52"/>
    </row>
    <row r="31" spans="1:40" ht="13" x14ac:dyDescent="0.3">
      <c r="A31" s="51" t="s">
        <v>53</v>
      </c>
      <c r="N31" s="52">
        <f t="shared" si="3"/>
        <v>-78964.670000000042</v>
      </c>
      <c r="O31" s="52">
        <f t="shared" si="3"/>
        <v>31367.740000000049</v>
      </c>
      <c r="P31" s="52">
        <f t="shared" si="3"/>
        <v>5137.0999999999767</v>
      </c>
      <c r="Q31" s="52">
        <f t="shared" si="3"/>
        <v>17043.879999999888</v>
      </c>
      <c r="R31" s="52">
        <f t="shared" si="3"/>
        <v>-28155.900000000023</v>
      </c>
      <c r="S31" s="52">
        <f t="shared" si="3"/>
        <v>14370.469999999972</v>
      </c>
      <c r="T31" s="52">
        <f t="shared" si="3"/>
        <v>-15247.949999999953</v>
      </c>
      <c r="U31" s="52">
        <f t="shared" si="3"/>
        <v>17043.339999999967</v>
      </c>
      <c r="V31" s="52">
        <f t="shared" si="3"/>
        <v>-28815.70000000007</v>
      </c>
      <c r="W31" s="52">
        <f t="shared" si="3"/>
        <v>4681.5400000000373</v>
      </c>
      <c r="X31" s="52">
        <f t="shared" si="3"/>
        <v>877.05000000004657</v>
      </c>
      <c r="Y31" s="52">
        <f t="shared" si="3"/>
        <v>48852.719999999972</v>
      </c>
      <c r="Z31" s="52">
        <f t="shared" si="4"/>
        <v>-58730.940000000061</v>
      </c>
      <c r="AA31" s="52">
        <f t="shared" si="5"/>
        <v>6822.2199999999721</v>
      </c>
      <c r="AB31" s="52">
        <f t="shared" si="6"/>
        <v>-30545.239999999991</v>
      </c>
      <c r="AC31" s="52">
        <f t="shared" si="7"/>
        <v>-24176.379999999888</v>
      </c>
      <c r="AD31" s="52">
        <f t="shared" si="8"/>
        <v>19096.599999999977</v>
      </c>
      <c r="AE31" s="52">
        <f t="shared" si="9"/>
        <v>-50463.859999999986</v>
      </c>
      <c r="AF31" s="52">
        <f t="shared" si="10"/>
        <v>-12131.560000000056</v>
      </c>
      <c r="AG31" s="52">
        <f t="shared" si="11"/>
        <v>-47603.300000000047</v>
      </c>
      <c r="AH31" s="52">
        <f t="shared" si="12"/>
        <v>-30292.649999999907</v>
      </c>
      <c r="AI31" s="52">
        <f t="shared" si="13"/>
        <v>-32154.290000000037</v>
      </c>
      <c r="AJ31" s="52">
        <f t="shared" si="14"/>
        <v>-2550.9600000000792</v>
      </c>
      <c r="AK31" s="52"/>
    </row>
    <row r="32" spans="1:40" ht="13" x14ac:dyDescent="0.3">
      <c r="A32" s="51" t="s">
        <v>54</v>
      </c>
      <c r="N32" s="52">
        <f t="shared" si="3"/>
        <v>-280168.06000000052</v>
      </c>
      <c r="O32" s="52">
        <f t="shared" si="3"/>
        <v>103340.02000000002</v>
      </c>
      <c r="P32" s="52">
        <f t="shared" si="3"/>
        <v>-331662.83999999939</v>
      </c>
      <c r="Q32" s="52">
        <f t="shared" si="3"/>
        <v>-94696.820000000764</v>
      </c>
      <c r="R32" s="52">
        <f t="shared" si="3"/>
        <v>72283.200000000186</v>
      </c>
      <c r="S32" s="52">
        <f t="shared" si="3"/>
        <v>73563.040000000037</v>
      </c>
      <c r="T32" s="52">
        <f t="shared" si="3"/>
        <v>-243590.80000000028</v>
      </c>
      <c r="U32" s="52">
        <f t="shared" si="3"/>
        <v>-26630.890000000596</v>
      </c>
      <c r="V32" s="52">
        <f t="shared" si="3"/>
        <v>-380155.98</v>
      </c>
      <c r="W32" s="52">
        <f t="shared" si="3"/>
        <v>-71614.780000000261</v>
      </c>
      <c r="X32" s="52">
        <f t="shared" si="3"/>
        <v>-195560.23999999976</v>
      </c>
      <c r="Y32" s="52">
        <f t="shared" si="3"/>
        <v>52307.939999999478</v>
      </c>
      <c r="Z32" s="52">
        <f t="shared" si="4"/>
        <v>-305694.45000000019</v>
      </c>
      <c r="AA32" s="52">
        <f t="shared" si="5"/>
        <v>60554.870000000112</v>
      </c>
      <c r="AB32" s="52">
        <f t="shared" si="6"/>
        <v>-78952.849999999627</v>
      </c>
      <c r="AC32" s="52">
        <f t="shared" si="7"/>
        <v>-162853.36620000005</v>
      </c>
      <c r="AD32" s="52">
        <f t="shared" si="8"/>
        <v>-293544.85000000056</v>
      </c>
      <c r="AE32" s="52">
        <f t="shared" si="9"/>
        <v>-266897.90000000037</v>
      </c>
      <c r="AF32" s="52">
        <f t="shared" si="10"/>
        <v>-239160.62000000011</v>
      </c>
      <c r="AG32" s="52">
        <f t="shared" si="11"/>
        <v>-415086.29000000004</v>
      </c>
      <c r="AH32" s="52">
        <f t="shared" si="12"/>
        <v>-309803.91999999946</v>
      </c>
      <c r="AI32" s="52">
        <f t="shared" si="13"/>
        <v>-278386.58999999985</v>
      </c>
      <c r="AJ32" s="52">
        <f t="shared" si="14"/>
        <v>-68965.359999999404</v>
      </c>
      <c r="AK32" s="52"/>
    </row>
    <row r="33" spans="1:37" ht="13" x14ac:dyDescent="0.3">
      <c r="A33" s="51" t="s">
        <v>55</v>
      </c>
      <c r="N33" s="52">
        <f t="shared" si="3"/>
        <v>-85801.339999999967</v>
      </c>
      <c r="O33" s="52">
        <f t="shared" si="3"/>
        <v>-16376.109999999986</v>
      </c>
      <c r="P33" s="52">
        <f t="shared" si="3"/>
        <v>-17488.710000000021</v>
      </c>
      <c r="Q33" s="52">
        <f t="shared" si="3"/>
        <v>-44290.330000000016</v>
      </c>
      <c r="R33" s="52">
        <f t="shared" si="3"/>
        <v>-60805.765999999945</v>
      </c>
      <c r="S33" s="52">
        <f t="shared" si="3"/>
        <v>-38695.640000000014</v>
      </c>
      <c r="T33" s="52">
        <f t="shared" si="3"/>
        <v>-87474.469999999972</v>
      </c>
      <c r="U33" s="52">
        <f t="shared" si="3"/>
        <v>-44962.079999999958</v>
      </c>
      <c r="V33" s="52">
        <f t="shared" si="3"/>
        <v>-56834.880000000005</v>
      </c>
      <c r="W33" s="52">
        <f t="shared" si="3"/>
        <v>-36508.070000000007</v>
      </c>
      <c r="X33" s="52">
        <f t="shared" si="3"/>
        <v>-51498.040000000037</v>
      </c>
      <c r="Y33" s="52">
        <f t="shared" si="3"/>
        <v>-25975.270000000019</v>
      </c>
      <c r="Z33" s="52">
        <f t="shared" si="4"/>
        <v>-79838.400000000023</v>
      </c>
      <c r="AA33" s="52">
        <f t="shared" si="5"/>
        <v>-23102.380000000005</v>
      </c>
      <c r="AB33" s="52">
        <f t="shared" si="6"/>
        <v>-29611.131999999983</v>
      </c>
      <c r="AC33" s="52">
        <f t="shared" si="7"/>
        <v>-57204.031599999988</v>
      </c>
      <c r="AD33" s="52">
        <f t="shared" si="8"/>
        <v>-52874.920000000042</v>
      </c>
      <c r="AE33" s="52">
        <f t="shared" si="9"/>
        <v>-115296.14000000001</v>
      </c>
      <c r="AF33" s="52">
        <f t="shared" si="10"/>
        <v>-73497.540000000037</v>
      </c>
      <c r="AG33" s="52">
        <f t="shared" si="11"/>
        <v>-88848.079999999958</v>
      </c>
      <c r="AH33" s="52">
        <f t="shared" si="12"/>
        <v>-55153.51999999996</v>
      </c>
      <c r="AI33" s="52">
        <f t="shared" si="13"/>
        <v>-99889.659999999974</v>
      </c>
      <c r="AJ33" s="52">
        <f t="shared" si="14"/>
        <v>-50109.649999999965</v>
      </c>
      <c r="AK33" s="52"/>
    </row>
    <row r="34" spans="1:37" ht="13" x14ac:dyDescent="0.3">
      <c r="A34" s="51" t="s">
        <v>56</v>
      </c>
      <c r="N34" s="52">
        <f t="shared" si="3"/>
        <v>-81366.729999999981</v>
      </c>
      <c r="O34" s="52">
        <f t="shared" si="3"/>
        <v>54316.929999999935</v>
      </c>
      <c r="P34" s="52">
        <f t="shared" si="3"/>
        <v>28267.869999999995</v>
      </c>
      <c r="Q34" s="52">
        <f t="shared" si="3"/>
        <v>20106.270000000135</v>
      </c>
      <c r="R34" s="52">
        <f t="shared" si="3"/>
        <v>-34951.239999999991</v>
      </c>
      <c r="S34" s="52">
        <f t="shared" si="3"/>
        <v>35826.699999999953</v>
      </c>
      <c r="T34" s="52">
        <f t="shared" si="3"/>
        <v>-41801.670000000158</v>
      </c>
      <c r="U34" s="52">
        <f t="shared" si="3"/>
        <v>9574.3299999998417</v>
      </c>
      <c r="V34" s="52">
        <f t="shared" si="3"/>
        <v>-20557.169999999925</v>
      </c>
      <c r="W34" s="52">
        <f t="shared" si="3"/>
        <v>-12893.719999999972</v>
      </c>
      <c r="X34" s="52">
        <f t="shared" si="3"/>
        <v>19637.080000000075</v>
      </c>
      <c r="Y34" s="52">
        <f t="shared" si="3"/>
        <v>47746.689999999944</v>
      </c>
      <c r="Z34" s="52">
        <f t="shared" si="4"/>
        <v>-93011.809999999939</v>
      </c>
      <c r="AA34" s="52">
        <f t="shared" si="5"/>
        <v>47972.869999999995</v>
      </c>
      <c r="AB34" s="52">
        <f t="shared" si="6"/>
        <v>3144.0100000001257</v>
      </c>
      <c r="AC34" s="52">
        <f t="shared" si="7"/>
        <v>-22985.387700000079</v>
      </c>
      <c r="AD34" s="52">
        <f t="shared" si="8"/>
        <v>37152.469999999972</v>
      </c>
      <c r="AE34" s="52">
        <f t="shared" si="9"/>
        <v>-66293.699999999953</v>
      </c>
      <c r="AF34" s="52">
        <f t="shared" si="10"/>
        <v>-90786.630000000121</v>
      </c>
      <c r="AG34" s="52">
        <f t="shared" si="11"/>
        <v>-119987.28000000003</v>
      </c>
      <c r="AH34" s="52">
        <f t="shared" si="12"/>
        <v>-120152.42000000016</v>
      </c>
      <c r="AI34" s="52">
        <f t="shared" si="13"/>
        <v>-96097.139999999898</v>
      </c>
      <c r="AJ34" s="52">
        <f t="shared" si="14"/>
        <v>-51818.169999999925</v>
      </c>
      <c r="AK34" s="52"/>
    </row>
    <row r="35" spans="1:37" ht="13" x14ac:dyDescent="0.3">
      <c r="A35" s="51" t="s">
        <v>57</v>
      </c>
      <c r="N35" s="52">
        <f t="shared" si="3"/>
        <v>-17054.800000000047</v>
      </c>
      <c r="O35" s="52">
        <f t="shared" si="3"/>
        <v>72031.570000000007</v>
      </c>
      <c r="P35" s="52">
        <f t="shared" si="3"/>
        <v>41964.73000000004</v>
      </c>
      <c r="Q35" s="52">
        <f t="shared" si="3"/>
        <v>43327.98000000004</v>
      </c>
      <c r="R35" s="52">
        <f t="shared" si="3"/>
        <v>-65292.810000000056</v>
      </c>
      <c r="S35" s="52">
        <f t="shared" si="3"/>
        <v>865.14000000013039</v>
      </c>
      <c r="T35" s="52">
        <f t="shared" si="3"/>
        <v>-44278.070000000065</v>
      </c>
      <c r="U35" s="52">
        <f t="shared" si="3"/>
        <v>1196.5299999999115</v>
      </c>
      <c r="V35" s="52">
        <f t="shared" si="3"/>
        <v>-36500.280000000028</v>
      </c>
      <c r="W35" s="52">
        <f t="shared" si="3"/>
        <v>-16469.930000000051</v>
      </c>
      <c r="X35" s="52">
        <f t="shared" si="3"/>
        <v>20558.009999999951</v>
      </c>
      <c r="Y35" s="52">
        <f t="shared" si="3"/>
        <v>33117.159999999974</v>
      </c>
      <c r="Z35" s="52">
        <f t="shared" si="4"/>
        <v>-124740.37</v>
      </c>
      <c r="AA35" s="52">
        <f t="shared" si="5"/>
        <v>-6952.4799999999814</v>
      </c>
      <c r="AB35" s="52">
        <f t="shared" si="6"/>
        <v>-31048.95000000007</v>
      </c>
      <c r="AC35" s="52">
        <f t="shared" si="7"/>
        <v>-32951.960300000035</v>
      </c>
      <c r="AD35" s="52">
        <f t="shared" si="8"/>
        <v>78982.659999999916</v>
      </c>
      <c r="AE35" s="52">
        <f t="shared" si="9"/>
        <v>-1185.5400000000373</v>
      </c>
      <c r="AF35" s="52">
        <f t="shared" si="10"/>
        <v>-2755.8900000001304</v>
      </c>
      <c r="AG35" s="52">
        <f t="shared" si="11"/>
        <v>-32265.930000000051</v>
      </c>
      <c r="AH35" s="52">
        <f t="shared" si="12"/>
        <v>11453</v>
      </c>
      <c r="AI35" s="52">
        <f t="shared" si="13"/>
        <v>5098.1799999999348</v>
      </c>
      <c r="AJ35" s="52">
        <f t="shared" si="14"/>
        <v>-21748.26999999996</v>
      </c>
      <c r="AK35" s="52"/>
    </row>
  </sheetData>
  <mergeCells count="6">
    <mergeCell ref="A1:A2"/>
    <mergeCell ref="B1:M1"/>
    <mergeCell ref="N1:W1"/>
    <mergeCell ref="Z1:AK1"/>
    <mergeCell ref="Z19:AK19"/>
    <mergeCell ref="N19:Y19"/>
  </mergeCells>
  <conditionalFormatting sqref="N21:Y3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1:AK3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L3:AN17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ignoredErrors>
    <ignoredError sqref="AL3:AL17 AM3:AM17 AN3:AN14 AN15:AN1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AD20-5FA9-5840-80B0-EF88816F9522}">
  <dimension ref="A1:R193"/>
  <sheetViews>
    <sheetView zoomScale="130" zoomScaleNormal="130" workbookViewId="0">
      <pane xSplit="2" ySplit="1" topLeftCell="C167" activePane="bottomRight" state="frozen"/>
      <selection pane="topRight" activeCell="C1" sqref="C1"/>
      <selection pane="bottomLeft" activeCell="A2" sqref="A2"/>
      <selection pane="bottomRight" activeCell="E186" sqref="E186"/>
    </sheetView>
  </sheetViews>
  <sheetFormatPr defaultColWidth="8.54296875" defaultRowHeight="14.5" x14ac:dyDescent="0.35"/>
  <cols>
    <col min="1" max="1" width="5.54296875" bestFit="1" customWidth="1"/>
    <col min="2" max="2" width="6.453125" customWidth="1"/>
    <col min="3" max="3" width="9.1796875" customWidth="1"/>
    <col min="4" max="9" width="10.54296875" customWidth="1"/>
    <col min="10" max="10" width="11" bestFit="1" customWidth="1"/>
    <col min="11" max="11" width="12.1796875" bestFit="1" customWidth="1"/>
    <col min="15" max="15" width="10.453125" customWidth="1"/>
  </cols>
  <sheetData>
    <row r="1" spans="1:18" ht="64.5" customHeight="1" x14ac:dyDescent="0.35">
      <c r="A1" s="63" t="s">
        <v>5</v>
      </c>
      <c r="B1" s="63" t="s">
        <v>6</v>
      </c>
      <c r="C1" s="64" t="s">
        <v>61</v>
      </c>
      <c r="D1" s="64" t="s">
        <v>62</v>
      </c>
      <c r="E1" s="64" t="s">
        <v>63</v>
      </c>
      <c r="F1" s="64" t="s">
        <v>64</v>
      </c>
      <c r="G1" s="64" t="s">
        <v>65</v>
      </c>
      <c r="H1" s="64" t="s">
        <v>66</v>
      </c>
      <c r="I1" s="64" t="s">
        <v>67</v>
      </c>
      <c r="K1" s="65"/>
      <c r="L1" s="165"/>
      <c r="M1" s="165"/>
    </row>
    <row r="2" spans="1:18" x14ac:dyDescent="0.35">
      <c r="A2" s="162" t="s">
        <v>68</v>
      </c>
      <c r="K2" s="60"/>
    </row>
    <row r="3" spans="1:18" x14ac:dyDescent="0.35">
      <c r="A3" s="163"/>
      <c r="K3" s="60"/>
      <c r="L3" s="85" t="s">
        <v>69</v>
      </c>
    </row>
    <row r="4" spans="1:18" x14ac:dyDescent="0.35">
      <c r="A4" s="163"/>
      <c r="B4" s="159" t="s">
        <v>70</v>
      </c>
      <c r="C4" s="66" t="s">
        <v>71</v>
      </c>
      <c r="D4" s="27">
        <v>9400113.453999998</v>
      </c>
      <c r="E4" s="27">
        <v>1786405.4860000003</v>
      </c>
      <c r="F4" s="27">
        <v>24024138.410999991</v>
      </c>
      <c r="G4" s="27">
        <v>438901.35200000019</v>
      </c>
      <c r="H4" s="27">
        <v>493674.13000000012</v>
      </c>
      <c r="I4" s="67"/>
      <c r="K4" s="60"/>
      <c r="L4" s="62" t="s">
        <v>72</v>
      </c>
      <c r="R4" s="68"/>
    </row>
    <row r="5" spans="1:18" x14ac:dyDescent="0.35">
      <c r="A5" s="163"/>
      <c r="B5" s="160"/>
      <c r="C5" s="66" t="s">
        <v>73</v>
      </c>
      <c r="D5" s="27">
        <v>7192895.9320000019</v>
      </c>
      <c r="E5" s="27">
        <v>1345175.4749999999</v>
      </c>
      <c r="F5" s="27">
        <v>19422875.905999999</v>
      </c>
      <c r="G5" s="27">
        <v>338549.07</v>
      </c>
      <c r="H5" s="27">
        <v>409953.62999999989</v>
      </c>
      <c r="I5" s="67"/>
      <c r="K5" s="60"/>
    </row>
    <row r="6" spans="1:18" x14ac:dyDescent="0.35">
      <c r="A6" s="163"/>
      <c r="B6" s="69" t="s">
        <v>74</v>
      </c>
      <c r="C6" s="66" t="s">
        <v>71</v>
      </c>
      <c r="D6" s="27">
        <v>9644407.3249999993</v>
      </c>
      <c r="E6" s="27">
        <v>1805013.1310000001</v>
      </c>
      <c r="F6" s="27">
        <v>24025803.081000004</v>
      </c>
      <c r="G6" s="27">
        <v>407280.89699999994</v>
      </c>
      <c r="H6" s="27">
        <v>503715.26599999989</v>
      </c>
      <c r="I6" s="67"/>
      <c r="K6" s="60"/>
    </row>
    <row r="7" spans="1:18" x14ac:dyDescent="0.35">
      <c r="A7" s="163"/>
      <c r="B7" s="70"/>
      <c r="C7" s="66" t="s">
        <v>73</v>
      </c>
      <c r="D7" s="27">
        <v>9916709.9919999987</v>
      </c>
      <c r="E7" s="27">
        <v>2088174.5980000016</v>
      </c>
      <c r="F7" s="27">
        <v>22791170.847999975</v>
      </c>
      <c r="G7" s="27">
        <v>421212.73600000003</v>
      </c>
      <c r="H7" s="27">
        <v>527882.86</v>
      </c>
      <c r="I7" s="67"/>
      <c r="K7" s="60"/>
    </row>
    <row r="8" spans="1:18" x14ac:dyDescent="0.35">
      <c r="A8" s="163"/>
      <c r="B8" s="69" t="s">
        <v>75</v>
      </c>
      <c r="C8" s="66" t="s">
        <v>71</v>
      </c>
      <c r="D8" s="27">
        <v>7907730.7160000028</v>
      </c>
      <c r="E8" s="27">
        <v>3519134.7300000023</v>
      </c>
      <c r="F8" s="27">
        <v>23657207.930999968</v>
      </c>
      <c r="G8" s="27">
        <v>523768.29800000013</v>
      </c>
      <c r="H8" s="27">
        <v>533568.10999999987</v>
      </c>
      <c r="I8" s="67"/>
      <c r="K8" s="60"/>
    </row>
    <row r="9" spans="1:18" ht="15" customHeight="1" x14ac:dyDescent="0.35">
      <c r="A9" s="163"/>
      <c r="B9" s="70"/>
      <c r="C9" s="66" t="s">
        <v>73</v>
      </c>
      <c r="D9" s="27">
        <v>7623839.8330000043</v>
      </c>
      <c r="E9" s="27">
        <v>4048823.3630000004</v>
      </c>
      <c r="F9" s="27">
        <v>23096550.103999991</v>
      </c>
      <c r="G9" s="27">
        <v>689025.47100000002</v>
      </c>
      <c r="H9" s="27">
        <v>560560.13</v>
      </c>
      <c r="I9" s="67"/>
      <c r="K9" s="60"/>
      <c r="L9" s="81" t="s">
        <v>76</v>
      </c>
      <c r="M9" s="81"/>
      <c r="N9" s="88" t="s">
        <v>77</v>
      </c>
      <c r="O9" s="88" t="s">
        <v>14</v>
      </c>
      <c r="P9" s="88" t="s">
        <v>78</v>
      </c>
      <c r="Q9" s="88" t="s">
        <v>40</v>
      </c>
    </row>
    <row r="10" spans="1:18" x14ac:dyDescent="0.35">
      <c r="A10" s="163"/>
      <c r="B10" s="69" t="s">
        <v>79</v>
      </c>
      <c r="C10" s="66" t="s">
        <v>71</v>
      </c>
      <c r="D10" s="27">
        <v>7821494.6120000053</v>
      </c>
      <c r="E10" s="27">
        <v>4817358.3549999967</v>
      </c>
      <c r="F10" s="27">
        <v>24645898.243000001</v>
      </c>
      <c r="G10" s="27">
        <v>519929.76100000012</v>
      </c>
      <c r="H10" s="27">
        <v>574525.56000000006</v>
      </c>
      <c r="I10" s="67"/>
      <c r="K10" s="60"/>
    </row>
    <row r="11" spans="1:18" ht="15" customHeight="1" x14ac:dyDescent="0.35">
      <c r="A11" s="163"/>
      <c r="B11" s="70"/>
      <c r="C11" s="66" t="s">
        <v>73</v>
      </c>
      <c r="D11" s="27">
        <v>8029530.1139999935</v>
      </c>
      <c r="E11" s="27">
        <v>5700086.3439999977</v>
      </c>
      <c r="F11" s="27">
        <v>26731487.735999972</v>
      </c>
      <c r="G11" s="27">
        <v>490495.80000000016</v>
      </c>
      <c r="H11" s="27">
        <v>712969.09000000043</v>
      </c>
      <c r="I11" s="67"/>
      <c r="K11" s="60"/>
    </row>
    <row r="12" spans="1:18" x14ac:dyDescent="0.35">
      <c r="A12" s="163"/>
      <c r="B12" s="69" t="s">
        <v>80</v>
      </c>
      <c r="C12" s="66" t="s">
        <v>71</v>
      </c>
      <c r="D12" s="27">
        <v>8332868.0450000046</v>
      </c>
      <c r="E12" s="27">
        <v>5975558.7749999985</v>
      </c>
      <c r="F12" s="27">
        <v>25301127.772999991</v>
      </c>
      <c r="G12" s="27">
        <v>514360.56199999992</v>
      </c>
      <c r="H12" s="27">
        <v>607702.58900000004</v>
      </c>
      <c r="I12" s="67"/>
      <c r="K12" s="60"/>
      <c r="L12" s="83" t="s">
        <v>70</v>
      </c>
      <c r="M12" s="66" t="s">
        <v>71</v>
      </c>
      <c r="N12" s="68">
        <f t="shared" ref="N12:N33" si="0">(D28+E28)/(D4+E4)-1</f>
        <v>-5.424329045117593E-2</v>
      </c>
      <c r="O12" s="68">
        <f>(F28+G4)/(F4+G28)-1</f>
        <v>-6.0909746980985169E-2</v>
      </c>
      <c r="P12" s="68">
        <f>G28/G4-1</f>
        <v>-0.13725232953941813</v>
      </c>
      <c r="Q12" s="68">
        <f t="shared" ref="Q12:Q33" si="1">H28/H4-1</f>
        <v>0.1737388386140466</v>
      </c>
    </row>
    <row r="13" spans="1:18" ht="15" customHeight="1" x14ac:dyDescent="0.35">
      <c r="A13" s="163"/>
      <c r="B13" s="70"/>
      <c r="C13" s="66" t="s">
        <v>73</v>
      </c>
      <c r="D13" s="27">
        <v>8166340.3319999957</v>
      </c>
      <c r="E13" s="27">
        <v>5718107.5360000022</v>
      </c>
      <c r="F13" s="27">
        <v>23742660.442999978</v>
      </c>
      <c r="G13" s="27">
        <v>530197.20699999994</v>
      </c>
      <c r="H13" s="27">
        <v>658537.75300000003</v>
      </c>
      <c r="I13" s="67"/>
      <c r="K13" s="60"/>
      <c r="L13" s="84"/>
      <c r="M13" s="66" t="s">
        <v>73</v>
      </c>
      <c r="N13" s="68">
        <f t="shared" si="0"/>
        <v>0.14592485944525158</v>
      </c>
      <c r="O13" s="68">
        <f t="shared" ref="O13:O33" si="2">(F29+G5)/(F5+G29)-1</f>
        <v>0.1231321435568753</v>
      </c>
      <c r="P13" s="68">
        <f t="shared" ref="P13:P33" si="3">G29/G5-1</f>
        <v>-1.0069550626737533E-2</v>
      </c>
      <c r="Q13" s="68">
        <f t="shared" si="1"/>
        <v>0.31260542808219594</v>
      </c>
    </row>
    <row r="14" spans="1:18" x14ac:dyDescent="0.35">
      <c r="A14" s="163"/>
      <c r="B14" s="69" t="s">
        <v>81</v>
      </c>
      <c r="C14" s="66" t="s">
        <v>71</v>
      </c>
      <c r="D14" s="27">
        <v>7760027.355999995</v>
      </c>
      <c r="E14" s="27">
        <v>5470792.8920000009</v>
      </c>
      <c r="F14" s="27">
        <v>25085548.941999998</v>
      </c>
      <c r="G14" s="27">
        <v>524896.72199999983</v>
      </c>
      <c r="H14" s="27">
        <v>638985.69000000006</v>
      </c>
      <c r="I14" s="67"/>
      <c r="K14" s="60"/>
      <c r="L14" s="83" t="s">
        <v>74</v>
      </c>
      <c r="M14" s="66" t="s">
        <v>71</v>
      </c>
      <c r="N14" s="68">
        <f t="shared" si="0"/>
        <v>-6.5327873395375491E-3</v>
      </c>
      <c r="O14" s="68">
        <f t="shared" si="2"/>
        <v>-3.9852553313304062E-2</v>
      </c>
      <c r="P14" s="68">
        <f t="shared" si="3"/>
        <v>-5.4194805507904786E-2</v>
      </c>
      <c r="Q14" s="68">
        <f t="shared" si="1"/>
        <v>0.15102904187144439</v>
      </c>
    </row>
    <row r="15" spans="1:18" x14ac:dyDescent="0.35">
      <c r="A15" s="163"/>
      <c r="B15" s="70"/>
      <c r="C15" s="66" t="s">
        <v>73</v>
      </c>
      <c r="D15" s="27">
        <v>8854033.1339999977</v>
      </c>
      <c r="E15" s="27">
        <v>6037193.3800000027</v>
      </c>
      <c r="F15" s="27">
        <v>27379098.904000007</v>
      </c>
      <c r="G15" s="27">
        <v>647266.99099999992</v>
      </c>
      <c r="H15" s="27">
        <v>712196.99999999988</v>
      </c>
      <c r="I15" s="67"/>
      <c r="K15" s="60"/>
      <c r="L15" s="84"/>
      <c r="M15" s="66" t="s">
        <v>73</v>
      </c>
      <c r="N15" s="68">
        <f t="shared" si="0"/>
        <v>-0.36386488718422616</v>
      </c>
      <c r="O15" s="68">
        <f t="shared" si="2"/>
        <v>-6.0969146790392115E-2</v>
      </c>
      <c r="P15" s="68">
        <f t="shared" si="3"/>
        <v>8.5196585793644974E-2</v>
      </c>
      <c r="Q15" s="68">
        <f t="shared" si="1"/>
        <v>-0.13710273904327941</v>
      </c>
    </row>
    <row r="16" spans="1:18" x14ac:dyDescent="0.35">
      <c r="A16" s="163"/>
      <c r="B16" s="69" t="s">
        <v>82</v>
      </c>
      <c r="C16" s="66" t="s">
        <v>71</v>
      </c>
      <c r="D16" s="27">
        <v>8101969.0550000006</v>
      </c>
      <c r="E16" s="27">
        <v>5475948.2030000035</v>
      </c>
      <c r="F16" s="27">
        <v>26047671.126999993</v>
      </c>
      <c r="G16" s="27">
        <v>611475.4720000003</v>
      </c>
      <c r="H16" s="27">
        <v>663040.42900000012</v>
      </c>
      <c r="I16" s="67"/>
      <c r="K16" s="60"/>
      <c r="L16" s="83" t="s">
        <v>75</v>
      </c>
      <c r="M16" s="66" t="s">
        <v>71</v>
      </c>
      <c r="N16" s="68">
        <f t="shared" si="0"/>
        <v>-0.3142455934192333</v>
      </c>
      <c r="O16" s="68">
        <f t="shared" si="2"/>
        <v>-0.17020959782698819</v>
      </c>
      <c r="P16" s="68">
        <f t="shared" si="3"/>
        <v>-0.14888921742262473</v>
      </c>
      <c r="Q16" s="68">
        <f t="shared" si="1"/>
        <v>-0.16171614904046594</v>
      </c>
    </row>
    <row r="17" spans="1:17" x14ac:dyDescent="0.35">
      <c r="A17" s="163"/>
      <c r="B17" s="70"/>
      <c r="C17" s="66" t="s">
        <v>73</v>
      </c>
      <c r="D17" s="27">
        <v>8244611.0329999998</v>
      </c>
      <c r="E17" s="27">
        <v>6018269.2209999999</v>
      </c>
      <c r="F17" s="27">
        <v>26706211.315999992</v>
      </c>
      <c r="G17" s="27">
        <v>750319.13899999997</v>
      </c>
      <c r="H17" s="27">
        <v>697224.2300000001</v>
      </c>
      <c r="I17" s="67"/>
      <c r="K17" s="60"/>
      <c r="L17" s="84"/>
      <c r="M17" s="66" t="s">
        <v>73</v>
      </c>
      <c r="N17" s="68">
        <f t="shared" si="0"/>
        <v>-0.26907951495390714</v>
      </c>
      <c r="O17" s="68">
        <f t="shared" si="2"/>
        <v>-4.7661952840372335E-2</v>
      </c>
      <c r="P17" s="68">
        <f t="shared" si="3"/>
        <v>-0.22343253403472496</v>
      </c>
      <c r="Q17" s="68">
        <f t="shared" si="1"/>
        <v>-9.789923874892803E-2</v>
      </c>
    </row>
    <row r="18" spans="1:17" x14ac:dyDescent="0.35">
      <c r="A18" s="163"/>
      <c r="B18" s="69" t="s">
        <v>83</v>
      </c>
      <c r="C18" s="66" t="s">
        <v>71</v>
      </c>
      <c r="D18" s="27">
        <v>7373297.1659999955</v>
      </c>
      <c r="E18" s="27">
        <v>5343877.0069999965</v>
      </c>
      <c r="F18" s="27">
        <v>25309300.617000006</v>
      </c>
      <c r="G18" s="27">
        <v>541243.58899999992</v>
      </c>
      <c r="H18" s="27">
        <v>628756.14999999979</v>
      </c>
      <c r="I18" s="67"/>
      <c r="K18" s="60"/>
      <c r="L18" s="83" t="s">
        <v>79</v>
      </c>
      <c r="M18" s="66" t="s">
        <v>71</v>
      </c>
      <c r="N18" s="68">
        <f t="shared" si="0"/>
        <v>-0.10948293081760985</v>
      </c>
      <c r="O18" s="68">
        <f t="shared" si="2"/>
        <v>4.9106727372777659E-2</v>
      </c>
      <c r="P18" s="68">
        <f t="shared" si="3"/>
        <v>9.9675200166123856E-2</v>
      </c>
      <c r="Q18" s="68">
        <f t="shared" si="1"/>
        <v>-5.2343885274657165E-3</v>
      </c>
    </row>
    <row r="19" spans="1:17" x14ac:dyDescent="0.35">
      <c r="A19" s="163"/>
      <c r="B19" s="70"/>
      <c r="C19" s="66" t="s">
        <v>73</v>
      </c>
      <c r="D19" s="27">
        <v>6717976.4029999981</v>
      </c>
      <c r="E19" s="27">
        <v>4665551.3960000025</v>
      </c>
      <c r="F19" s="27">
        <v>24836525.696999986</v>
      </c>
      <c r="G19" s="27">
        <v>509377.00700000033</v>
      </c>
      <c r="H19" s="27">
        <v>667155.67500000016</v>
      </c>
      <c r="I19" s="67"/>
      <c r="K19" s="60"/>
      <c r="L19" s="84"/>
      <c r="M19" s="66" t="s">
        <v>73</v>
      </c>
      <c r="N19" s="68">
        <f t="shared" si="0"/>
        <v>-8.7585274554361048E-2</v>
      </c>
      <c r="O19" s="68">
        <f t="shared" si="2"/>
        <v>-9.9628661321877754E-3</v>
      </c>
      <c r="P19" s="68">
        <f t="shared" si="3"/>
        <v>-0.10742711762261803</v>
      </c>
      <c r="Q19" s="68">
        <f t="shared" si="1"/>
        <v>-7.8831340360071112E-2</v>
      </c>
    </row>
    <row r="20" spans="1:17" x14ac:dyDescent="0.35">
      <c r="A20" s="163"/>
      <c r="B20" s="69" t="s">
        <v>84</v>
      </c>
      <c r="C20" s="66" t="s">
        <v>71</v>
      </c>
      <c r="D20" s="27">
        <v>7024351.0799999973</v>
      </c>
      <c r="E20" s="27">
        <v>4721399.6380000003</v>
      </c>
      <c r="F20" s="27">
        <v>25026022.668999985</v>
      </c>
      <c r="G20" s="27">
        <v>446488.641</v>
      </c>
      <c r="H20" s="27">
        <v>637459.94000000018</v>
      </c>
      <c r="I20" s="67"/>
      <c r="K20" s="60"/>
      <c r="L20" s="83" t="s">
        <v>80</v>
      </c>
      <c r="M20" s="66" t="s">
        <v>71</v>
      </c>
      <c r="N20" s="68">
        <f t="shared" si="0"/>
        <v>-7.5340186070854243E-2</v>
      </c>
      <c r="O20" s="68">
        <f t="shared" si="2"/>
        <v>9.9890403479835799E-2</v>
      </c>
      <c r="P20" s="68">
        <f t="shared" si="3"/>
        <v>-0.20200209478735276</v>
      </c>
      <c r="Q20" s="68">
        <f t="shared" si="1"/>
        <v>0.12232212326480663</v>
      </c>
    </row>
    <row r="21" spans="1:17" x14ac:dyDescent="0.35">
      <c r="A21" s="163"/>
      <c r="B21" s="70"/>
      <c r="C21" s="66" t="s">
        <v>73</v>
      </c>
      <c r="D21" s="27">
        <v>6880637.5210000044</v>
      </c>
      <c r="E21" s="27">
        <v>4546699.8429999975</v>
      </c>
      <c r="F21" s="27">
        <v>25524863.06700002</v>
      </c>
      <c r="G21" s="27">
        <v>492166.97199999995</v>
      </c>
      <c r="H21" s="27">
        <v>646051.03000000038</v>
      </c>
      <c r="I21" s="67"/>
      <c r="K21" s="60"/>
      <c r="L21" s="84"/>
      <c r="M21" s="66" t="s">
        <v>73</v>
      </c>
      <c r="N21" s="68">
        <f t="shared" si="0"/>
        <v>-1.3649799675274799E-2</v>
      </c>
      <c r="O21" s="68">
        <f t="shared" si="2"/>
        <v>7.6702242254436337E-2</v>
      </c>
      <c r="P21" s="68">
        <f t="shared" si="3"/>
        <v>-0.27435813708464107</v>
      </c>
      <c r="Q21" s="68">
        <f t="shared" si="1"/>
        <v>0.10671041512786261</v>
      </c>
    </row>
    <row r="22" spans="1:17" x14ac:dyDescent="0.35">
      <c r="A22" s="163"/>
      <c r="B22" s="69" t="s">
        <v>85</v>
      </c>
      <c r="C22" s="66" t="s">
        <v>71</v>
      </c>
      <c r="D22" s="27">
        <v>6971027.0840000017</v>
      </c>
      <c r="E22" s="27">
        <v>4635002.3060000017</v>
      </c>
      <c r="F22" s="27">
        <v>24324293.703999996</v>
      </c>
      <c r="G22" s="27">
        <v>390946.86700000009</v>
      </c>
      <c r="H22" s="27">
        <v>613728.08299999998</v>
      </c>
      <c r="I22" s="67"/>
      <c r="K22" s="60"/>
      <c r="L22" s="83" t="s">
        <v>81</v>
      </c>
      <c r="M22" s="66" t="s">
        <v>71</v>
      </c>
      <c r="N22" s="68">
        <f t="shared" si="0"/>
        <v>4.668747767874537E-2</v>
      </c>
      <c r="O22" s="68">
        <f t="shared" si="2"/>
        <v>0.1146163524634547</v>
      </c>
      <c r="P22" s="68">
        <f t="shared" si="3"/>
        <v>0.38267621720830602</v>
      </c>
      <c r="Q22" s="68">
        <f t="shared" si="1"/>
        <v>0.16951040014683327</v>
      </c>
    </row>
    <row r="23" spans="1:17" x14ac:dyDescent="0.35">
      <c r="A23" s="163"/>
      <c r="B23" s="70"/>
      <c r="C23" s="66" t="s">
        <v>73</v>
      </c>
      <c r="D23" s="27">
        <v>6315443.0499999989</v>
      </c>
      <c r="E23" s="27">
        <v>4082045.6360000013</v>
      </c>
      <c r="F23" s="27">
        <v>22824968.605</v>
      </c>
      <c r="G23" s="27">
        <v>388523.21200000012</v>
      </c>
      <c r="H23" s="27">
        <v>585966.23600000015</v>
      </c>
      <c r="I23" s="67"/>
      <c r="K23" s="60"/>
      <c r="L23" s="84"/>
      <c r="M23" s="66" t="s">
        <v>73</v>
      </c>
      <c r="N23" s="68">
        <f t="shared" si="0"/>
        <v>3.2984636258015509E-3</v>
      </c>
      <c r="O23" s="68">
        <f t="shared" si="2"/>
        <v>0.10790678461416481</v>
      </c>
      <c r="P23" s="68">
        <f t="shared" si="3"/>
        <v>3.3913405604210967E-2</v>
      </c>
      <c r="Q23" s="68">
        <f t="shared" si="1"/>
        <v>0.18444699008841647</v>
      </c>
    </row>
    <row r="24" spans="1:17" x14ac:dyDescent="0.35">
      <c r="A24" s="163"/>
      <c r="B24" s="69" t="s">
        <v>86</v>
      </c>
      <c r="C24" s="66" t="s">
        <v>71</v>
      </c>
      <c r="D24" s="27">
        <v>6512296.4960000012</v>
      </c>
      <c r="E24" s="27">
        <v>4190553.2940000002</v>
      </c>
      <c r="F24" s="27">
        <v>22994149.838000014</v>
      </c>
      <c r="G24" s="27">
        <v>385409.12</v>
      </c>
      <c r="H24" s="27">
        <v>595396.86</v>
      </c>
      <c r="I24" s="67"/>
      <c r="K24" s="60"/>
      <c r="L24" s="83" t="s">
        <v>82</v>
      </c>
      <c r="M24" s="66" t="s">
        <v>71</v>
      </c>
      <c r="N24" s="68">
        <f t="shared" si="0"/>
        <v>7.460318204569738E-2</v>
      </c>
      <c r="O24" s="68">
        <f t="shared" si="2"/>
        <v>0.11518587791908153</v>
      </c>
      <c r="P24" s="68">
        <f t="shared" si="3"/>
        <v>0.3182899705910025</v>
      </c>
      <c r="Q24" s="68">
        <f t="shared" si="1"/>
        <v>0.19401253132333474</v>
      </c>
    </row>
    <row r="25" spans="1:17" x14ac:dyDescent="0.35">
      <c r="A25" s="164"/>
      <c r="B25" s="70"/>
      <c r="C25" s="66" t="s">
        <v>73</v>
      </c>
      <c r="D25" s="27">
        <v>6904633.8339999961</v>
      </c>
      <c r="E25" s="27">
        <v>4377986.0919999992</v>
      </c>
      <c r="F25" s="27">
        <v>19875487.393000007</v>
      </c>
      <c r="G25" s="27">
        <v>377917.54700000002</v>
      </c>
      <c r="H25" s="27">
        <v>628781.44000000006</v>
      </c>
      <c r="I25" s="67"/>
      <c r="K25" s="60"/>
      <c r="L25" s="84"/>
      <c r="M25" s="66" t="s">
        <v>73</v>
      </c>
      <c r="N25" s="68">
        <f t="shared" si="0"/>
        <v>-1.9788401358893482E-2</v>
      </c>
      <c r="O25" s="68">
        <f t="shared" si="2"/>
        <v>0.12667146577753852</v>
      </c>
      <c r="P25" s="68">
        <f t="shared" si="3"/>
        <v>8.9950484389816232E-2</v>
      </c>
      <c r="Q25" s="68">
        <f t="shared" si="1"/>
        <v>0.14749580633478532</v>
      </c>
    </row>
    <row r="26" spans="1:17" x14ac:dyDescent="0.35">
      <c r="A26" s="161" t="s">
        <v>87</v>
      </c>
      <c r="B26" s="159" t="s">
        <v>88</v>
      </c>
      <c r="C26" s="66" t="s">
        <v>71</v>
      </c>
      <c r="D26" s="27">
        <v>6067856.6239999952</v>
      </c>
      <c r="E26" s="27">
        <v>3717620.2339999988</v>
      </c>
      <c r="F26" s="27">
        <v>19932007.816000007</v>
      </c>
      <c r="G26" s="27">
        <v>351603.87600000011</v>
      </c>
      <c r="H26" s="27">
        <v>535529.19000000018</v>
      </c>
      <c r="I26" s="27"/>
      <c r="L26" s="83" t="s">
        <v>83</v>
      </c>
      <c r="M26" s="66" t="s">
        <v>71</v>
      </c>
      <c r="N26" s="68">
        <f t="shared" si="0"/>
        <v>2.6006871849107993E-2</v>
      </c>
      <c r="O26" s="68">
        <f t="shared" si="2"/>
        <v>0.16804059080839684</v>
      </c>
      <c r="P26" s="68">
        <f t="shared" si="3"/>
        <v>0.55712369093761271</v>
      </c>
      <c r="Q26" s="68">
        <f t="shared" si="1"/>
        <v>0.160858703330377</v>
      </c>
    </row>
    <row r="27" spans="1:17" x14ac:dyDescent="0.35">
      <c r="A27" s="161"/>
      <c r="B27" s="160"/>
      <c r="C27" s="66" t="s">
        <v>73</v>
      </c>
      <c r="D27" s="27">
        <v>6482995.6510000015</v>
      </c>
      <c r="E27" s="27">
        <v>3969937.6249999963</v>
      </c>
      <c r="F27" s="27">
        <v>22808225.129000012</v>
      </c>
      <c r="G27" s="27">
        <v>379147.15299999999</v>
      </c>
      <c r="H27" s="27">
        <v>596796.09499999986</v>
      </c>
      <c r="I27" s="27"/>
      <c r="L27" s="84"/>
      <c r="M27" s="66" t="s">
        <v>73</v>
      </c>
      <c r="N27" s="68">
        <f t="shared" si="0"/>
        <v>2.9817481715099126E-2</v>
      </c>
      <c r="O27" s="68">
        <f t="shared" si="2"/>
        <v>0.13073203429740143</v>
      </c>
      <c r="P27" s="68">
        <f t="shared" si="3"/>
        <v>0.65563510604238862</v>
      </c>
      <c r="Q27" s="68">
        <f t="shared" si="1"/>
        <v>2.132804311377523E-2</v>
      </c>
    </row>
    <row r="28" spans="1:17" x14ac:dyDescent="0.35">
      <c r="A28" s="161"/>
      <c r="B28" s="159" t="s">
        <v>70</v>
      </c>
      <c r="C28" s="66" t="s">
        <v>71</v>
      </c>
      <c r="D28" s="27">
        <v>6337765.7409999985</v>
      </c>
      <c r="E28" s="27">
        <v>4241959.6029999973</v>
      </c>
      <c r="F28" s="27">
        <v>22477529.832999986</v>
      </c>
      <c r="G28" s="27">
        <v>378661.11900000001</v>
      </c>
      <c r="H28" s="27">
        <v>579444.5</v>
      </c>
      <c r="I28" s="27"/>
      <c r="L28" s="83" t="s">
        <v>84</v>
      </c>
      <c r="M28" s="66" t="s">
        <v>71</v>
      </c>
      <c r="N28" s="68">
        <f t="shared" si="0"/>
        <v>2.4549478268605984E-2</v>
      </c>
      <c r="O28" s="68">
        <f t="shared" si="2"/>
        <v>0.14003110793010864</v>
      </c>
      <c r="P28" s="68">
        <f t="shared" si="3"/>
        <v>0.66187739589101913</v>
      </c>
      <c r="Q28" s="68">
        <f t="shared" si="1"/>
        <v>9.830319690363587E-2</v>
      </c>
    </row>
    <row r="29" spans="1:17" x14ac:dyDescent="0.35">
      <c r="A29" s="161"/>
      <c r="B29" s="160"/>
      <c r="C29" s="66" t="s">
        <v>73</v>
      </c>
      <c r="D29" s="27">
        <v>5876382.6700000018</v>
      </c>
      <c r="E29" s="27">
        <v>3907605.606999998</v>
      </c>
      <c r="F29" s="27">
        <v>21852313.723999977</v>
      </c>
      <c r="G29" s="27">
        <v>335140.03300000011</v>
      </c>
      <c r="H29" s="27">
        <v>538107.36</v>
      </c>
      <c r="I29" s="27"/>
      <c r="L29" s="84"/>
      <c r="M29" s="66" t="s">
        <v>73</v>
      </c>
      <c r="N29" s="68">
        <f t="shared" si="0"/>
        <v>4.6844857638176585E-2</v>
      </c>
      <c r="O29" s="68">
        <f t="shared" si="2"/>
        <v>0.13104800225219648</v>
      </c>
      <c r="P29" s="68">
        <f t="shared" si="3"/>
        <v>0.45115792938661481</v>
      </c>
      <c r="Q29" s="68">
        <f t="shared" si="1"/>
        <v>0.1101451196509966</v>
      </c>
    </row>
    <row r="30" spans="1:17" x14ac:dyDescent="0.35">
      <c r="A30" s="161"/>
      <c r="B30" s="159" t="s">
        <v>74</v>
      </c>
      <c r="C30" s="66" t="s">
        <v>71</v>
      </c>
      <c r="D30" s="27">
        <v>6698011.733</v>
      </c>
      <c r="E30" s="27">
        <v>4676612.0940000014</v>
      </c>
      <c r="F30" s="27">
        <v>23030889.436000004</v>
      </c>
      <c r="G30" s="27">
        <v>385208.38799999992</v>
      </c>
      <c r="H30" s="27">
        <v>579790.89999999967</v>
      </c>
      <c r="I30" s="27"/>
      <c r="L30" s="83" t="s">
        <v>85</v>
      </c>
      <c r="M30" s="66" t="s">
        <v>71</v>
      </c>
      <c r="N30" s="68">
        <f t="shared" si="0"/>
        <v>-2.8668386992599437E-2</v>
      </c>
      <c r="O30" s="68">
        <f t="shared" si="2"/>
        <v>0.1185855765313264</v>
      </c>
      <c r="P30" s="68">
        <f t="shared" si="3"/>
        <v>0.65965463025439752</v>
      </c>
      <c r="Q30" s="68">
        <f t="shared" si="1"/>
        <v>0.12147110107066772</v>
      </c>
    </row>
    <row r="31" spans="1:17" x14ac:dyDescent="0.35">
      <c r="A31" s="161"/>
      <c r="B31" s="160"/>
      <c r="C31" s="66" t="s">
        <v>73</v>
      </c>
      <c r="D31" s="27">
        <v>4304789.4499999974</v>
      </c>
      <c r="E31" s="27">
        <v>3331939.1629999974</v>
      </c>
      <c r="F31" s="27">
        <v>21409629.580999985</v>
      </c>
      <c r="G31" s="27">
        <v>457098.62299999996</v>
      </c>
      <c r="H31" s="27">
        <v>455508.674</v>
      </c>
      <c r="I31" s="27"/>
      <c r="L31" s="84"/>
      <c r="M31" s="66" t="s">
        <v>73</v>
      </c>
      <c r="N31" s="68">
        <f t="shared" si="0"/>
        <v>-2.6486013913221695E-3</v>
      </c>
      <c r="O31" s="68">
        <f t="shared" si="2"/>
        <v>0.19335688087631486</v>
      </c>
      <c r="P31" s="68">
        <f t="shared" si="3"/>
        <v>0.59754467642978271</v>
      </c>
      <c r="Q31" s="68">
        <f t="shared" si="1"/>
        <v>7.5728192639413106E-2</v>
      </c>
    </row>
    <row r="32" spans="1:17" x14ac:dyDescent="0.35">
      <c r="A32" s="161"/>
      <c r="B32" s="159" t="s">
        <v>75</v>
      </c>
      <c r="C32" s="66" t="s">
        <v>71</v>
      </c>
      <c r="D32" s="27">
        <v>4395425.7539999988</v>
      </c>
      <c r="E32" s="27">
        <v>3440597.5790000036</v>
      </c>
      <c r="F32" s="27">
        <v>19476663.772000004</v>
      </c>
      <c r="G32" s="27">
        <v>445784.84600000002</v>
      </c>
      <c r="H32" s="27">
        <v>447281.53000000014</v>
      </c>
      <c r="I32" s="27"/>
      <c r="L32" s="83" t="s">
        <v>86</v>
      </c>
      <c r="M32" s="66" t="s">
        <v>71</v>
      </c>
      <c r="N32" s="68">
        <f t="shared" si="0"/>
        <v>-5.8383487973813541E-2</v>
      </c>
      <c r="O32" s="68">
        <f t="shared" si="2"/>
        <v>0.19364754328317857</v>
      </c>
      <c r="P32" s="68">
        <f t="shared" si="3"/>
        <v>0.7402505187215076</v>
      </c>
      <c r="Q32" s="68">
        <f t="shared" si="1"/>
        <v>9.8441953489644352E-2</v>
      </c>
    </row>
    <row r="33" spans="1:17" x14ac:dyDescent="0.35">
      <c r="A33" s="161"/>
      <c r="B33" s="160"/>
      <c r="C33" s="66" t="s">
        <v>73</v>
      </c>
      <c r="D33" s="27">
        <v>4718514.4440000011</v>
      </c>
      <c r="E33" s="27">
        <v>3813274.200999999</v>
      </c>
      <c r="F33" s="27">
        <v>21816270.007000003</v>
      </c>
      <c r="G33" s="27">
        <v>535074.76400000008</v>
      </c>
      <c r="H33" s="27">
        <v>505681.71999999986</v>
      </c>
      <c r="I33" s="27"/>
      <c r="L33" s="84"/>
      <c r="M33" s="66" t="s">
        <v>73</v>
      </c>
      <c r="N33" s="68">
        <f t="shared" si="0"/>
        <v>-1.7306813867762338E-2</v>
      </c>
      <c r="O33" s="68">
        <f t="shared" si="2"/>
        <v>0.21932450056990516</v>
      </c>
      <c r="P33" s="68">
        <f t="shared" si="3"/>
        <v>0.44585094377742673</v>
      </c>
      <c r="Q33" s="68">
        <f t="shared" si="1"/>
        <v>6.4604530947987682E-2</v>
      </c>
    </row>
    <row r="34" spans="1:17" x14ac:dyDescent="0.35">
      <c r="A34" s="161"/>
      <c r="B34" s="159" t="s">
        <v>79</v>
      </c>
      <c r="C34" s="66" t="s">
        <v>71</v>
      </c>
      <c r="D34" s="27">
        <v>5965776.7419999978</v>
      </c>
      <c r="E34" s="27">
        <v>5289337.5600000005</v>
      </c>
      <c r="F34" s="27">
        <v>25936078.713000003</v>
      </c>
      <c r="G34" s="27">
        <v>571753.86400000006</v>
      </c>
      <c r="H34" s="27">
        <v>571518.27000000025</v>
      </c>
      <c r="I34" s="27"/>
      <c r="M34" s="86" t="s">
        <v>89</v>
      </c>
      <c r="N34" s="87">
        <f>SUM(D28:E49)/SUM(D4:E25)-1</f>
        <v>-4.729571047319725E-2</v>
      </c>
      <c r="O34" s="87">
        <f>SUM(F28:G49)/SUM(F4:G25)-1</f>
        <v>8.5857849608413028E-2</v>
      </c>
      <c r="P34" s="87">
        <f>SUM(G28:G49)/SUM(G4:G25)-1</f>
        <v>0.18737583090240673</v>
      </c>
      <c r="Q34" s="87">
        <f>SUM(H28:H49)/SUM(H4:H25)-1</f>
        <v>8.2747524848182374E-2</v>
      </c>
    </row>
    <row r="35" spans="1:17" x14ac:dyDescent="0.35">
      <c r="A35" s="161"/>
      <c r="B35" s="160"/>
      <c r="C35" s="66" t="s">
        <v>73</v>
      </c>
      <c r="D35" s="27">
        <v>6538663.609999992</v>
      </c>
      <c r="E35" s="27">
        <v>5988440.6209999966</v>
      </c>
      <c r="F35" s="27">
        <v>26408111.176999997</v>
      </c>
      <c r="G35" s="27">
        <v>437803.25</v>
      </c>
      <c r="H35" s="27">
        <v>656764.78100000019</v>
      </c>
      <c r="I35" s="27"/>
    </row>
    <row r="36" spans="1:17" x14ac:dyDescent="0.35">
      <c r="A36" s="161"/>
      <c r="B36" s="159" t="s">
        <v>80</v>
      </c>
      <c r="C36" s="66" t="s">
        <v>71</v>
      </c>
      <c r="D36" s="27">
        <v>6972543.6850000033</v>
      </c>
      <c r="E36" s="27">
        <v>6257883.5960000008</v>
      </c>
      <c r="F36" s="27">
        <v>27765566.604000021</v>
      </c>
      <c r="G36" s="27">
        <v>410458.6509999999</v>
      </c>
      <c r="H36" s="27">
        <v>682038.06000000017</v>
      </c>
      <c r="I36" s="27"/>
    </row>
    <row r="37" spans="1:17" x14ac:dyDescent="0.35">
      <c r="A37" s="161"/>
      <c r="B37" s="160"/>
      <c r="C37" s="66" t="s">
        <v>73</v>
      </c>
      <c r="D37" s="27">
        <v>7245343.3590000039</v>
      </c>
      <c r="E37" s="27">
        <v>6449584.5769999977</v>
      </c>
      <c r="F37" s="27">
        <v>25447821.724000011</v>
      </c>
      <c r="G37" s="27">
        <v>384733.28900000011</v>
      </c>
      <c r="H37" s="27">
        <v>728810.58999999985</v>
      </c>
      <c r="I37" s="27"/>
    </row>
    <row r="38" spans="1:17" x14ac:dyDescent="0.35">
      <c r="A38" s="161"/>
      <c r="B38" s="159" t="s">
        <v>81</v>
      </c>
      <c r="C38" s="66" t="s">
        <v>71</v>
      </c>
      <c r="D38" s="27">
        <v>7429817.6489999983</v>
      </c>
      <c r="E38" s="27">
        <v>6418716.2239999892</v>
      </c>
      <c r="F38" s="27">
        <v>28244812.770999994</v>
      </c>
      <c r="G38" s="27">
        <v>725762.21399999957</v>
      </c>
      <c r="H38" s="27">
        <v>747300.41000000038</v>
      </c>
      <c r="I38" s="27"/>
    </row>
    <row r="39" spans="1:17" ht="15" customHeight="1" x14ac:dyDescent="0.35">
      <c r="A39" s="161"/>
      <c r="B39" s="160"/>
      <c r="C39" s="66" t="s">
        <v>73</v>
      </c>
      <c r="D39" s="27">
        <v>7968135.287999996</v>
      </c>
      <c r="E39" s="27">
        <v>6972209.395000007</v>
      </c>
      <c r="F39" s="27">
        <v>30427653.625000004</v>
      </c>
      <c r="G39" s="27">
        <v>669218.01900000009</v>
      </c>
      <c r="H39" s="27">
        <v>843559.59299999976</v>
      </c>
      <c r="I39" s="27"/>
      <c r="L39" s="166" t="s">
        <v>90</v>
      </c>
      <c r="M39" s="166"/>
      <c r="N39" s="88" t="s">
        <v>77</v>
      </c>
      <c r="O39" s="88" t="s">
        <v>14</v>
      </c>
      <c r="P39" s="88" t="s">
        <v>78</v>
      </c>
      <c r="Q39" s="88" t="s">
        <v>40</v>
      </c>
    </row>
    <row r="40" spans="1:17" x14ac:dyDescent="0.35">
      <c r="A40" s="161"/>
      <c r="B40" s="159" t="s">
        <v>82</v>
      </c>
      <c r="C40" s="66" t="s">
        <v>71</v>
      </c>
      <c r="D40" s="27">
        <v>7535747.0479999958</v>
      </c>
      <c r="E40" s="27">
        <v>7055126.0429999987</v>
      </c>
      <c r="F40" s="27">
        <v>29335473.067999985</v>
      </c>
      <c r="G40" s="27">
        <v>806101.98199999973</v>
      </c>
      <c r="H40" s="27">
        <v>791678.58099999989</v>
      </c>
      <c r="I40" s="27"/>
      <c r="L40" s="83" t="s">
        <v>88</v>
      </c>
      <c r="M40" s="66" t="s">
        <v>71</v>
      </c>
      <c r="N40" s="68">
        <f>(D50+E50)/(D26+E26)-1</f>
        <v>-3.6621729140059012E-2</v>
      </c>
      <c r="O40" s="68">
        <f>(F50+G50)/(F26+G26)-1</f>
        <v>0.27332312702409856</v>
      </c>
      <c r="P40" s="68">
        <f>G50/G26-1</f>
        <v>-0.14356929614735014</v>
      </c>
      <c r="Q40" s="68">
        <f>H50/H26-1</f>
        <v>0.10418860641377869</v>
      </c>
    </row>
    <row r="41" spans="1:17" x14ac:dyDescent="0.35">
      <c r="A41" s="161"/>
      <c r="B41" s="160"/>
      <c r="C41" s="66" t="s">
        <v>73</v>
      </c>
      <c r="D41" s="27">
        <v>7198093.6400000034</v>
      </c>
      <c r="E41" s="27">
        <v>6782547.015000009</v>
      </c>
      <c r="F41" s="27">
        <v>30260211.099999994</v>
      </c>
      <c r="G41" s="27">
        <v>817810.7089999998</v>
      </c>
      <c r="H41" s="27">
        <v>800061.87999999989</v>
      </c>
      <c r="I41" s="27"/>
      <c r="L41" s="84"/>
      <c r="M41" s="66" t="s">
        <v>73</v>
      </c>
      <c r="N41" s="68">
        <f t="shared" ref="N41:N43" si="4">(D51+E51)/(D27+E27)-1</f>
        <v>-2.9529562358224459E-2</v>
      </c>
      <c r="O41" s="68">
        <f t="shared" ref="O41:O48" si="5">(F51+G51)/(F27+G27)-1</f>
        <v>0.19523791277178359</v>
      </c>
      <c r="P41" s="68">
        <f t="shared" ref="P41:Q41" si="6">G51/G27-1</f>
        <v>-0.16198986729566733</v>
      </c>
      <c r="Q41" s="68">
        <f t="shared" si="6"/>
        <v>8.241489080118769E-2</v>
      </c>
    </row>
    <row r="42" spans="1:17" x14ac:dyDescent="0.35">
      <c r="A42" s="161"/>
      <c r="B42" s="159" t="s">
        <v>83</v>
      </c>
      <c r="C42" s="66" t="s">
        <v>71</v>
      </c>
      <c r="D42" s="27">
        <v>6758047.9379999936</v>
      </c>
      <c r="E42" s="27">
        <v>6289860.1539999973</v>
      </c>
      <c r="F42" s="27">
        <v>30005451.861000009</v>
      </c>
      <c r="G42" s="27">
        <v>842783.2150000002</v>
      </c>
      <c r="H42" s="27">
        <v>729897.04899999977</v>
      </c>
      <c r="I42" s="27"/>
      <c r="L42" s="83" t="s">
        <v>70</v>
      </c>
      <c r="M42" s="66" t="s">
        <v>71</v>
      </c>
      <c r="N42" s="68">
        <f t="shared" si="4"/>
        <v>4.6922153161711E-2</v>
      </c>
      <c r="O42" s="68">
        <f t="shared" si="5"/>
        <v>0.28842420046473904</v>
      </c>
      <c r="P42" s="68">
        <f t="shared" ref="P42:Q42" si="7">G52/G28-1</f>
        <v>-0.10504352309802412</v>
      </c>
      <c r="Q42" s="68">
        <f t="shared" si="7"/>
        <v>0.13682535600907442</v>
      </c>
    </row>
    <row r="43" spans="1:17" x14ac:dyDescent="0.35">
      <c r="A43" s="161"/>
      <c r="B43" s="160"/>
      <c r="C43" s="66" t="s">
        <v>73</v>
      </c>
      <c r="D43" s="27">
        <v>6041249.4230000023</v>
      </c>
      <c r="E43" s="27">
        <v>5681706.5080000032</v>
      </c>
      <c r="F43" s="27">
        <v>28527672.548999995</v>
      </c>
      <c r="G43" s="27">
        <v>843342.45500000007</v>
      </c>
      <c r="H43" s="27">
        <v>681384.8</v>
      </c>
      <c r="I43" s="27"/>
      <c r="L43" s="84"/>
      <c r="M43" s="66" t="s">
        <v>73</v>
      </c>
      <c r="N43" s="68">
        <f t="shared" si="4"/>
        <v>-0.15791036336704678</v>
      </c>
      <c r="O43" s="68">
        <f>(F53+G53)/(F29+G29)-1</f>
        <v>-1.45907727648944E-2</v>
      </c>
      <c r="P43" s="68">
        <f t="shared" ref="P43:Q43" si="8">G53/G29-1</f>
        <v>-0.26222187547496034</v>
      </c>
      <c r="Q43" s="68">
        <f t="shared" si="8"/>
        <v>-3.7111181679432947E-2</v>
      </c>
    </row>
    <row r="44" spans="1:17" x14ac:dyDescent="0.35">
      <c r="A44" s="161"/>
      <c r="B44" s="159" t="s">
        <v>84</v>
      </c>
      <c r="C44" s="66" t="s">
        <v>71</v>
      </c>
      <c r="D44" s="27">
        <v>6248151.7469999995</v>
      </c>
      <c r="E44" s="27">
        <v>5785951.0230000028</v>
      </c>
      <c r="F44" s="27">
        <v>28929869.484999999</v>
      </c>
      <c r="G44" s="27">
        <v>742009.38000000012</v>
      </c>
      <c r="H44" s="27">
        <v>700124.29000000015</v>
      </c>
      <c r="I44" s="27"/>
      <c r="L44" s="83" t="s">
        <v>74</v>
      </c>
      <c r="M44" s="66" t="s">
        <v>71</v>
      </c>
      <c r="N44" s="68">
        <f>(D54+E54)/(D30+E30)-1</f>
        <v>-0.19803204600517299</v>
      </c>
      <c r="O44" s="68">
        <f t="shared" si="5"/>
        <v>0.14772776420734535</v>
      </c>
      <c r="P44" s="68">
        <f t="shared" ref="P44" si="9">G54/G30-1</f>
        <v>-0.26720861280933461</v>
      </c>
      <c r="Q44" s="68">
        <f t="shared" ref="Q44" si="10">H54/H30-1</f>
        <v>6.1950109944809872E-2</v>
      </c>
    </row>
    <row r="45" spans="1:17" x14ac:dyDescent="0.35">
      <c r="A45" s="161"/>
      <c r="B45" s="160"/>
      <c r="C45" s="66" t="s">
        <v>73</v>
      </c>
      <c r="D45" s="27">
        <v>6239489.7640000004</v>
      </c>
      <c r="E45" s="27">
        <v>5723159.5919999992</v>
      </c>
      <c r="F45" s="27">
        <v>29185486.467999987</v>
      </c>
      <c r="G45" s="27">
        <v>714212.00399999996</v>
      </c>
      <c r="H45" s="27">
        <v>717210.39800000004</v>
      </c>
      <c r="I45" s="27"/>
      <c r="L45" s="84"/>
      <c r="M45" s="66" t="s">
        <v>73</v>
      </c>
      <c r="N45" s="68">
        <f t="shared" ref="N45:N46" si="11">(D55+E55)/(D31+E31)-1</f>
        <v>0.16755064293129984</v>
      </c>
      <c r="O45" s="68">
        <f t="shared" si="5"/>
        <v>0.20436048385064587</v>
      </c>
      <c r="P45" s="68">
        <f t="shared" ref="P45:P46" si="12">G55/G31-1</f>
        <v>-0.37369253680731407</v>
      </c>
      <c r="Q45" s="68">
        <f t="shared" ref="Q45:Q46" si="13">H55/H31-1</f>
        <v>0.32725083957457235</v>
      </c>
    </row>
    <row r="46" spans="1:17" x14ac:dyDescent="0.35">
      <c r="A46" s="161"/>
      <c r="B46" s="159" t="s">
        <v>85</v>
      </c>
      <c r="C46" s="66" t="s">
        <v>71</v>
      </c>
      <c r="D46" s="27">
        <v>5965235.6400000015</v>
      </c>
      <c r="E46" s="27">
        <v>5308067.608</v>
      </c>
      <c r="F46" s="27">
        <v>27543636.691000007</v>
      </c>
      <c r="G46" s="27">
        <v>648836.77800000028</v>
      </c>
      <c r="H46" s="27">
        <v>688278.30900000012</v>
      </c>
      <c r="I46" s="27"/>
      <c r="L46" s="83" t="s">
        <v>75</v>
      </c>
      <c r="M46" s="66" t="s">
        <v>71</v>
      </c>
      <c r="N46" s="68">
        <f t="shared" si="11"/>
        <v>0.2834705239640456</v>
      </c>
      <c r="O46" s="68">
        <f t="shared" si="5"/>
        <v>0.29979739205368849</v>
      </c>
      <c r="P46" s="68">
        <f t="shared" si="12"/>
        <v>-0.17717372115426311</v>
      </c>
      <c r="Q46" s="68">
        <f t="shared" si="13"/>
        <v>0.43629373651981518</v>
      </c>
    </row>
    <row r="47" spans="1:17" x14ac:dyDescent="0.35">
      <c r="A47" s="161"/>
      <c r="B47" s="160"/>
      <c r="C47" s="66" t="s">
        <v>73</v>
      </c>
      <c r="D47" s="27">
        <v>5540031.1280000014</v>
      </c>
      <c r="E47" s="27">
        <v>4829918.7550000036</v>
      </c>
      <c r="F47" s="27">
        <v>27590506.683000013</v>
      </c>
      <c r="G47" s="27">
        <v>620683.18900000001</v>
      </c>
      <c r="H47" s="27">
        <v>630340.39999999991</v>
      </c>
      <c r="I47" s="27"/>
      <c r="L47" s="84"/>
      <c r="M47" s="66" t="s">
        <v>73</v>
      </c>
      <c r="N47" s="68">
        <f t="shared" ref="N47" si="14">(D57+E57)/(D33+E33)-1</f>
        <v>0.22875395197978454</v>
      </c>
      <c r="O47" s="68">
        <f t="shared" si="5"/>
        <v>0.26458491735463552</v>
      </c>
      <c r="P47" s="68">
        <f t="shared" ref="P47" si="15">G57/G33-1</f>
        <v>-0.10874705539280494</v>
      </c>
      <c r="Q47" s="68">
        <f t="shared" ref="Q47" si="16">H57/H33-1</f>
        <v>0.32537521625262666</v>
      </c>
    </row>
    <row r="48" spans="1:17" x14ac:dyDescent="0.35">
      <c r="A48" s="161"/>
      <c r="B48" s="159" t="s">
        <v>86</v>
      </c>
      <c r="C48" s="66" t="s">
        <v>71</v>
      </c>
      <c r="D48" s="27">
        <v>5379567.4960000003</v>
      </c>
      <c r="E48" s="27">
        <v>4698412.592000003</v>
      </c>
      <c r="F48" s="27">
        <v>27862090.803000003</v>
      </c>
      <c r="G48" s="27">
        <v>670708.42099999974</v>
      </c>
      <c r="H48" s="27">
        <v>654008.89000000025</v>
      </c>
      <c r="I48" s="27"/>
      <c r="L48" s="83" t="s">
        <v>79</v>
      </c>
      <c r="M48" s="66" t="s">
        <v>71</v>
      </c>
      <c r="N48" s="68">
        <f t="shared" ref="N48:N49" si="17">(D58+E58)/(D34+E34)-1</f>
        <v>0.13276610649209197</v>
      </c>
      <c r="O48" s="68">
        <f t="shared" si="5"/>
        <v>0.10143444803303026</v>
      </c>
      <c r="P48" s="68">
        <f t="shared" ref="P48" si="18">G58/G34-1</f>
        <v>-0.26957495647112961</v>
      </c>
      <c r="Q48" s="68">
        <f t="shared" ref="Q48" si="19">H58/H34-1</f>
        <v>0.2867334337360723</v>
      </c>
    </row>
    <row r="49" spans="1:17" x14ac:dyDescent="0.35">
      <c r="A49" s="161"/>
      <c r="B49" s="160"/>
      <c r="C49" s="66" t="s">
        <v>73</v>
      </c>
      <c r="D49" s="27">
        <v>5846502.2620000048</v>
      </c>
      <c r="E49" s="27">
        <v>5240851.461000002</v>
      </c>
      <c r="F49" s="27">
        <v>24523005.270000014</v>
      </c>
      <c r="G49" s="27">
        <v>546412.44200000004</v>
      </c>
      <c r="H49" s="27">
        <v>669403.5700000003</v>
      </c>
      <c r="I49" s="27"/>
      <c r="L49" s="84"/>
      <c r="M49" s="66" t="s">
        <v>73</v>
      </c>
      <c r="N49" s="68">
        <f t="shared" si="17"/>
        <v>3.5544246682177372E-2</v>
      </c>
      <c r="O49" s="68">
        <f>(F59+G59)/(F35+G35)-1</f>
        <v>0.11960393316946205</v>
      </c>
      <c r="P49" s="68">
        <f>G59/G35-1</f>
        <v>-0.16948337866381735</v>
      </c>
      <c r="Q49" s="68">
        <f>H59/H35-1</f>
        <v>0.19635256598815665</v>
      </c>
    </row>
    <row r="50" spans="1:17" x14ac:dyDescent="0.35">
      <c r="A50" s="161" t="s">
        <v>91</v>
      </c>
      <c r="B50" s="159" t="s">
        <v>88</v>
      </c>
      <c r="C50" s="66" t="s">
        <v>71</v>
      </c>
      <c r="D50" s="27">
        <v>5001975.217000002</v>
      </c>
      <c r="E50" s="27">
        <v>4425140.5579999993</v>
      </c>
      <c r="F50" s="27">
        <v>25526467.512000013</v>
      </c>
      <c r="G50" s="27">
        <v>301124.35499999992</v>
      </c>
      <c r="H50" s="27">
        <v>591325.22999999986</v>
      </c>
      <c r="I50" s="27"/>
      <c r="L50" s="83" t="s">
        <v>80</v>
      </c>
      <c r="M50" s="66" t="s">
        <v>71</v>
      </c>
      <c r="N50" s="68">
        <f t="shared" ref="N50" si="20">(D60+E60)/(D36+E36)-1</f>
        <v>6.7225332040279806E-2</v>
      </c>
      <c r="O50" s="68">
        <f>(F60+G60)/(F36+G36)-1</f>
        <v>0.10450102473121059</v>
      </c>
      <c r="P50" s="68">
        <f>G60/G36-1</f>
        <v>-4.2883591214648353E-2</v>
      </c>
      <c r="Q50" s="68">
        <f>H60/H36-1</f>
        <v>0.18377541863279601</v>
      </c>
    </row>
    <row r="51" spans="1:17" x14ac:dyDescent="0.35">
      <c r="A51" s="161"/>
      <c r="B51" s="160"/>
      <c r="C51" s="66" t="s">
        <v>73</v>
      </c>
      <c r="D51" s="27">
        <v>5475661.9309999961</v>
      </c>
      <c r="E51" s="27">
        <v>4668600.799999998</v>
      </c>
      <c r="F51" s="27">
        <v>27396697.293000005</v>
      </c>
      <c r="G51" s="27">
        <v>317729.1559999999</v>
      </c>
      <c r="H51" s="27">
        <v>645980.9800000001</v>
      </c>
      <c r="I51" s="27"/>
      <c r="L51" s="84"/>
      <c r="M51" s="66" t="s">
        <v>73</v>
      </c>
      <c r="N51" s="68">
        <f t="shared" ref="N51:N52" si="21">(D61+E61)/(D37+E37)-1</f>
        <v>2.8294005840031833E-2</v>
      </c>
      <c r="O51" s="68">
        <f t="shared" ref="O51:O52" si="22">(F61+G61)/(F37+G37)-1</f>
        <v>8.1694850081145409E-2</v>
      </c>
      <c r="P51" s="68">
        <f t="shared" ref="P51:Q51" si="23">G61/G37-1</f>
        <v>2.6608682671074968E-2</v>
      </c>
      <c r="Q51" s="68">
        <f t="shared" si="23"/>
        <v>0.15189288756081365</v>
      </c>
    </row>
    <row r="52" spans="1:17" x14ac:dyDescent="0.35">
      <c r="A52" s="161"/>
      <c r="B52" s="159" t="s">
        <v>70</v>
      </c>
      <c r="C52" s="66" t="s">
        <v>71</v>
      </c>
      <c r="D52" s="27">
        <v>5903033.6660000002</v>
      </c>
      <c r="E52" s="27">
        <v>5173115.171000002</v>
      </c>
      <c r="F52" s="27">
        <v>29109584.33199998</v>
      </c>
      <c r="G52" s="27">
        <v>338885.22099999984</v>
      </c>
      <c r="H52" s="27">
        <v>658727.20000000007</v>
      </c>
      <c r="I52" s="27"/>
      <c r="L52" s="83" t="s">
        <v>81</v>
      </c>
      <c r="M52" s="66" t="s">
        <v>71</v>
      </c>
      <c r="N52" s="68">
        <f t="shared" si="21"/>
        <v>6.5075510827688143E-2</v>
      </c>
      <c r="O52" s="68">
        <f t="shared" si="22"/>
        <v>0.11222267309790568</v>
      </c>
      <c r="P52" s="68">
        <f t="shared" ref="P52:Q52" si="24">G62/G38-1</f>
        <v>-0.39422092867458036</v>
      </c>
      <c r="Q52" s="68">
        <f t="shared" si="24"/>
        <v>0.19560536571898779</v>
      </c>
    </row>
    <row r="53" spans="1:17" x14ac:dyDescent="0.35">
      <c r="A53" s="161"/>
      <c r="B53" s="160"/>
      <c r="C53" s="66" t="s">
        <v>73</v>
      </c>
      <c r="D53" s="27">
        <v>4524652.6140000038</v>
      </c>
      <c r="E53" s="27">
        <v>3714342.5189999999</v>
      </c>
      <c r="F53" s="27">
        <v>21616462.675999988</v>
      </c>
      <c r="G53" s="27">
        <v>247258.98499999999</v>
      </c>
      <c r="H53" s="27">
        <v>518137.55999999994</v>
      </c>
      <c r="I53" s="27"/>
      <c r="L53" s="84"/>
      <c r="M53" s="66" t="s">
        <v>73</v>
      </c>
      <c r="N53" s="68">
        <f t="shared" ref="N53:N57" si="25">(D63+E63)/(D39+E39)-1</f>
        <v>-2.4758537828173388E-2</v>
      </c>
      <c r="O53" s="68">
        <f t="shared" ref="O53:O57" si="26">(F63+G63)/(F39+G39)-1</f>
        <v>5.6709786411593521E-2</v>
      </c>
      <c r="P53" s="68">
        <f t="shared" ref="P53:P57" si="27">G63/G39-1</f>
        <v>-0.13571275940195504</v>
      </c>
      <c r="Q53" s="68">
        <f t="shared" ref="Q53:Q57" si="28">H63/H39-1</f>
        <v>9.5846069051816363E-2</v>
      </c>
    </row>
    <row r="54" spans="1:17" x14ac:dyDescent="0.35">
      <c r="A54" s="161"/>
      <c r="B54" s="159" t="s">
        <v>74</v>
      </c>
      <c r="C54" s="66" t="s">
        <v>71</v>
      </c>
      <c r="D54" s="27">
        <v>5093689.7530000014</v>
      </c>
      <c r="E54" s="27">
        <v>4028394.044999999</v>
      </c>
      <c r="F54" s="27">
        <v>26593028.213000011</v>
      </c>
      <c r="G54" s="27">
        <v>282277.38900000002</v>
      </c>
      <c r="H54" s="27">
        <v>615709.00999999989</v>
      </c>
      <c r="I54" s="27"/>
      <c r="L54" s="83" t="s">
        <v>82</v>
      </c>
      <c r="M54" s="66" t="s">
        <v>71</v>
      </c>
      <c r="N54" s="68">
        <f t="shared" si="25"/>
        <v>-9.1055422983528755E-2</v>
      </c>
      <c r="O54" s="68">
        <f t="shared" si="26"/>
        <v>2.4575410268747877E-2</v>
      </c>
      <c r="P54" s="68">
        <f t="shared" si="27"/>
        <v>-0.41278552271317936</v>
      </c>
      <c r="Q54" s="68">
        <f t="shared" si="28"/>
        <v>5.8669553673323493E-2</v>
      </c>
    </row>
    <row r="55" spans="1:17" x14ac:dyDescent="0.35">
      <c r="A55" s="161"/>
      <c r="B55" s="160"/>
      <c r="C55" s="66" t="s">
        <v>73</v>
      </c>
      <c r="D55" s="27">
        <v>5084747.5529999966</v>
      </c>
      <c r="E55" s="27">
        <v>3831519.8490000004</v>
      </c>
      <c r="F55" s="27">
        <v>26049139.080999989</v>
      </c>
      <c r="G55" s="27">
        <v>286284.27899999992</v>
      </c>
      <c r="H55" s="27">
        <v>604574.27000000014</v>
      </c>
      <c r="I55" s="27"/>
      <c r="L55" s="84"/>
      <c r="M55" s="66" t="s">
        <v>73</v>
      </c>
      <c r="N55" s="68">
        <f t="shared" si="25"/>
        <v>-5.0235267848675491E-2</v>
      </c>
      <c r="O55" s="68">
        <f t="shared" si="26"/>
        <v>5.9392594752136985E-2</v>
      </c>
      <c r="P55" s="68">
        <f t="shared" si="27"/>
        <v>-0.42613049470351227</v>
      </c>
      <c r="Q55" s="68">
        <f t="shared" si="28"/>
        <v>0.11129021420193186</v>
      </c>
    </row>
    <row r="56" spans="1:17" x14ac:dyDescent="0.35">
      <c r="A56" s="161"/>
      <c r="B56" s="159" t="s">
        <v>75</v>
      </c>
      <c r="C56" s="66" t="s">
        <v>71</v>
      </c>
      <c r="D56" s="27">
        <v>5657209.6549999993</v>
      </c>
      <c r="E56" s="27">
        <v>4400095.318</v>
      </c>
      <c r="F56" s="27">
        <v>25528343.271000016</v>
      </c>
      <c r="G56" s="27">
        <v>366803.48599999992</v>
      </c>
      <c r="H56" s="27">
        <v>642427.66</v>
      </c>
      <c r="I56" s="27"/>
      <c r="L56" s="83" t="s">
        <v>83</v>
      </c>
      <c r="M56" s="66" t="s">
        <v>71</v>
      </c>
      <c r="N56" s="68">
        <f t="shared" si="25"/>
        <v>-2.4414711442925285E-2</v>
      </c>
      <c r="O56" s="68">
        <f t="shared" si="26"/>
        <v>3.2229876832515325E-2</v>
      </c>
      <c r="P56" s="68">
        <f t="shared" si="27"/>
        <v>-0.48048648073751687</v>
      </c>
      <c r="Q56" s="68">
        <f t="shared" si="28"/>
        <v>0.10729404387549435</v>
      </c>
    </row>
    <row r="57" spans="1:17" x14ac:dyDescent="0.35">
      <c r="A57" s="161"/>
      <c r="B57" s="160"/>
      <c r="C57" s="66" t="s">
        <v>73</v>
      </c>
      <c r="D57" s="27">
        <v>5878505.8589999992</v>
      </c>
      <c r="E57" s="27">
        <v>4604963.1560000014</v>
      </c>
      <c r="F57" s="27">
        <v>27788286.521000005</v>
      </c>
      <c r="G57" s="27">
        <v>476886.95900000003</v>
      </c>
      <c r="H57" s="27">
        <v>670218.01899999997</v>
      </c>
      <c r="I57" s="27"/>
      <c r="L57" s="84"/>
      <c r="M57" s="66" t="s">
        <v>73</v>
      </c>
      <c r="N57" s="68">
        <f t="shared" si="25"/>
        <v>-1.3616729427249896E-2</v>
      </c>
      <c r="O57" s="68">
        <f t="shared" si="26"/>
        <v>5.2019033928243807E-2</v>
      </c>
      <c r="P57" s="68">
        <f t="shared" si="27"/>
        <v>-0.53846854537875743</v>
      </c>
      <c r="Q57" s="68">
        <f t="shared" si="28"/>
        <v>0.15984013732035107</v>
      </c>
    </row>
    <row r="58" spans="1:17" x14ac:dyDescent="0.35">
      <c r="A58" s="161"/>
      <c r="B58" s="159" t="s">
        <v>79</v>
      </c>
      <c r="C58" s="66" t="s">
        <v>71</v>
      </c>
      <c r="D58" s="27">
        <v>6965619.7689999966</v>
      </c>
      <c r="E58" s="27">
        <v>5783792.2370000007</v>
      </c>
      <c r="F58" s="27">
        <v>28779016.601999976</v>
      </c>
      <c r="G58" s="27">
        <v>417623.3409999999</v>
      </c>
      <c r="H58" s="27">
        <v>735391.66599999997</v>
      </c>
      <c r="I58" s="27"/>
      <c r="L58" s="83" t="s">
        <v>84</v>
      </c>
      <c r="M58" s="66" t="s">
        <v>71</v>
      </c>
      <c r="N58" s="68">
        <f t="shared" ref="N58:N63" si="29">(D68+E68)/(D44+E44)-1</f>
        <v>-2.2754998376999902E-2</v>
      </c>
      <c r="O58" s="68">
        <f t="shared" ref="O58:O63" si="30">(F68+G68)/(F44+G44)-1</f>
        <v>3.1641398755757333E-2</v>
      </c>
      <c r="P58" s="68">
        <f t="shared" ref="P58:P63" si="31">G68/G44-1</f>
        <v>-0.5314190718182028</v>
      </c>
      <c r="Q58" s="68">
        <f t="shared" ref="Q58:Q63" si="32">H68/H44-1</f>
        <v>0.13366502396310231</v>
      </c>
    </row>
    <row r="59" spans="1:17" x14ac:dyDescent="0.35">
      <c r="A59" s="161"/>
      <c r="B59" s="160"/>
      <c r="C59" s="66" t="s">
        <v>73</v>
      </c>
      <c r="D59" s="27">
        <v>6955404.5519999983</v>
      </c>
      <c r="E59" s="27">
        <v>6016966.1619999995</v>
      </c>
      <c r="F59" s="27">
        <v>29693188.506000005</v>
      </c>
      <c r="G59" s="27">
        <v>363602.87600000011</v>
      </c>
      <c r="H59" s="27">
        <v>785722.23100000003</v>
      </c>
      <c r="I59" s="27"/>
      <c r="J59" s="98"/>
      <c r="K59" s="97"/>
      <c r="L59" s="84"/>
      <c r="M59" s="66" t="s">
        <v>73</v>
      </c>
      <c r="N59" s="68">
        <f t="shared" si="29"/>
        <v>-5.9493267153486684E-2</v>
      </c>
      <c r="O59" s="68">
        <f t="shared" si="30"/>
        <v>-9.3774155034556106E-3</v>
      </c>
      <c r="P59" s="68">
        <f t="shared" si="31"/>
        <v>-0.57935532822548286</v>
      </c>
      <c r="Q59" s="68">
        <f t="shared" si="32"/>
        <v>0.10283819393259819</v>
      </c>
    </row>
    <row r="60" spans="1:17" x14ac:dyDescent="0.35">
      <c r="A60" s="161"/>
      <c r="B60" s="159" t="s">
        <v>80</v>
      </c>
      <c r="C60" s="66" t="s">
        <v>71</v>
      </c>
      <c r="D60" s="27">
        <v>7617923.342000003</v>
      </c>
      <c r="E60" s="27">
        <v>6501923.8060000017</v>
      </c>
      <c r="F60" s="27">
        <v>30727592.056999989</v>
      </c>
      <c r="G60" s="27">
        <v>392856.7099999999</v>
      </c>
      <c r="H60" s="27">
        <v>807379.89000000025</v>
      </c>
      <c r="I60" s="27"/>
      <c r="L60" s="83" t="s">
        <v>85</v>
      </c>
      <c r="M60" s="66" t="s">
        <v>71</v>
      </c>
      <c r="N60" s="68">
        <f t="shared" si="29"/>
        <v>-5.7459672178597487E-2</v>
      </c>
      <c r="O60" s="68">
        <f t="shared" si="30"/>
        <v>3.8462516429867089E-2</v>
      </c>
      <c r="P60" s="68">
        <f t="shared" si="31"/>
        <v>-0.61480994531416666</v>
      </c>
      <c r="Q60" s="68">
        <f t="shared" si="32"/>
        <v>8.1691571948114827E-2</v>
      </c>
    </row>
    <row r="61" spans="1:17" x14ac:dyDescent="0.35">
      <c r="A61" s="161"/>
      <c r="B61" s="160"/>
      <c r="C61" s="66" t="s">
        <v>73</v>
      </c>
      <c r="D61" s="27">
        <v>7713982.2030000016</v>
      </c>
      <c r="E61" s="27">
        <v>6368430.1039999994</v>
      </c>
      <c r="F61" s="27">
        <v>27547971.186999988</v>
      </c>
      <c r="G61" s="27">
        <v>394970.53500000009</v>
      </c>
      <c r="H61" s="27">
        <v>839511.7350000001</v>
      </c>
      <c r="I61" s="27"/>
      <c r="L61" s="84"/>
      <c r="M61" s="66" t="s">
        <v>73</v>
      </c>
      <c r="N61" s="68">
        <f t="shared" si="29"/>
        <v>1.4996392533674019E-2</v>
      </c>
      <c r="O61" s="68">
        <f t="shared" si="30"/>
        <v>7.083035448225572E-2</v>
      </c>
      <c r="P61" s="68">
        <f t="shared" si="31"/>
        <v>-0.51565218886571129</v>
      </c>
      <c r="Q61" s="68">
        <f t="shared" si="32"/>
        <v>0.144518057227492</v>
      </c>
    </row>
    <row r="62" spans="1:17" x14ac:dyDescent="0.35">
      <c r="A62" s="161"/>
      <c r="B62" s="159" t="s">
        <v>81</v>
      </c>
      <c r="C62" s="66" t="s">
        <v>71</v>
      </c>
      <c r="D62" s="27">
        <v>8245169.6600000076</v>
      </c>
      <c r="E62" s="27">
        <v>6504564.6289999979</v>
      </c>
      <c r="F62" s="27">
        <v>31782078.791000009</v>
      </c>
      <c r="G62" s="27">
        <v>439651.56000000017</v>
      </c>
      <c r="H62" s="27">
        <v>893476.38</v>
      </c>
      <c r="I62" s="27"/>
      <c r="L62" s="83" t="s">
        <v>86</v>
      </c>
      <c r="M62" s="66" t="s">
        <v>71</v>
      </c>
      <c r="N62" s="68">
        <f t="shared" si="29"/>
        <v>0.12476382479631587</v>
      </c>
      <c r="O62" s="68">
        <f t="shared" si="30"/>
        <v>0.10984198253369426</v>
      </c>
      <c r="P62" s="68">
        <f t="shared" si="31"/>
        <v>-0.53984084836769908</v>
      </c>
      <c r="Q62" s="68">
        <f t="shared" si="32"/>
        <v>0.16089082519963904</v>
      </c>
    </row>
    <row r="63" spans="1:17" x14ac:dyDescent="0.35">
      <c r="A63" s="161"/>
      <c r="B63" s="160"/>
      <c r="C63" s="66" t="s">
        <v>73</v>
      </c>
      <c r="D63" s="27">
        <v>8226657.2779999999</v>
      </c>
      <c r="E63" s="27">
        <v>6343786.3159999978</v>
      </c>
      <c r="F63" s="27">
        <v>32281971.997999988</v>
      </c>
      <c r="G63" s="27">
        <v>578396.59500000009</v>
      </c>
      <c r="H63" s="27">
        <v>924411.46399999992</v>
      </c>
      <c r="I63" s="27"/>
      <c r="L63" s="84"/>
      <c r="M63" s="66" t="s">
        <v>73</v>
      </c>
      <c r="N63" s="68">
        <f t="shared" si="29"/>
        <v>6.8488811755391898E-2</v>
      </c>
      <c r="O63" s="68">
        <f t="shared" si="30"/>
        <v>0.13932740868281224</v>
      </c>
      <c r="P63" s="68">
        <f t="shared" si="31"/>
        <v>-0.43599139713586532</v>
      </c>
      <c r="Q63" s="68">
        <f t="shared" si="32"/>
        <v>0.19035730568332654</v>
      </c>
    </row>
    <row r="64" spans="1:17" x14ac:dyDescent="0.35">
      <c r="A64" s="161"/>
      <c r="B64" s="159" t="s">
        <v>82</v>
      </c>
      <c r="C64" s="66" t="s">
        <v>71</v>
      </c>
      <c r="D64" s="27">
        <v>7457182.101999999</v>
      </c>
      <c r="E64" s="27">
        <v>5805112.8680000026</v>
      </c>
      <c r="F64" s="27">
        <v>30408961.868999992</v>
      </c>
      <c r="G64" s="27">
        <v>473354.75399999996</v>
      </c>
      <c r="H64" s="27">
        <v>838126.01</v>
      </c>
      <c r="I64" s="27"/>
      <c r="M64" s="86" t="s">
        <v>89</v>
      </c>
      <c r="N64" s="87">
        <f>SUM(D50:E73)/SUM(D26:E49)-1</f>
        <v>1.1834843438500275E-2</v>
      </c>
      <c r="O64" s="87">
        <f t="shared" ref="O64:Q64" si="33">SUM(E50:F73)/SUM(E26:F49)-1</f>
        <v>9.3510298959677218E-2</v>
      </c>
      <c r="P64" s="87">
        <f t="shared" si="33"/>
        <v>0.10653733692841394</v>
      </c>
      <c r="Q64" s="87">
        <f t="shared" si="33"/>
        <v>-8.8745656069836309E-2</v>
      </c>
    </row>
    <row r="65" spans="1:17" x14ac:dyDescent="0.35">
      <c r="A65" s="161"/>
      <c r="B65" s="160"/>
      <c r="C65" s="66" t="s">
        <v>73</v>
      </c>
      <c r="D65" s="27">
        <v>7511644.6130000055</v>
      </c>
      <c r="E65" s="27">
        <v>5766674.8140000002</v>
      </c>
      <c r="F65" s="27">
        <v>32454509.537000004</v>
      </c>
      <c r="G65" s="27">
        <v>469316.6269999998</v>
      </c>
      <c r="H65" s="27">
        <v>889100.9380000002</v>
      </c>
      <c r="I65" s="27"/>
    </row>
    <row r="66" spans="1:17" x14ac:dyDescent="0.35">
      <c r="A66" s="161"/>
      <c r="B66" s="159" t="s">
        <v>83</v>
      </c>
      <c r="C66" s="66" t="s">
        <v>71</v>
      </c>
      <c r="D66" s="27">
        <v>7087556.2570000067</v>
      </c>
      <c r="E66" s="27">
        <v>5641790.923999995</v>
      </c>
      <c r="F66" s="27">
        <v>31404632.618999965</v>
      </c>
      <c r="G66" s="27">
        <v>437837.27400000003</v>
      </c>
      <c r="H66" s="27">
        <v>808210.65499999956</v>
      </c>
      <c r="I66" s="27"/>
    </row>
    <row r="67" spans="1:17" x14ac:dyDescent="0.35">
      <c r="A67" s="161"/>
      <c r="B67" s="160"/>
      <c r="C67" s="66" t="s">
        <v>73</v>
      </c>
      <c r="D67" s="27">
        <v>6521393.7549999999</v>
      </c>
      <c r="E67" s="27">
        <v>5041933.8570000036</v>
      </c>
      <c r="F67" s="27">
        <v>30509637.760000024</v>
      </c>
      <c r="G67" s="27">
        <v>389229.06999999983</v>
      </c>
      <c r="H67" s="27">
        <v>790297.44</v>
      </c>
      <c r="I67" s="27"/>
      <c r="J67" s="98"/>
      <c r="K67" s="98"/>
    </row>
    <row r="68" spans="1:17" x14ac:dyDescent="0.35">
      <c r="A68" s="161"/>
      <c r="B68" s="159" t="s">
        <v>84</v>
      </c>
      <c r="C68" s="66" t="s">
        <v>71</v>
      </c>
      <c r="D68" s="27">
        <v>6699688.8970000017</v>
      </c>
      <c r="E68" s="27">
        <v>5060577.8840000024</v>
      </c>
      <c r="F68" s="27">
        <v>30263047.171999991</v>
      </c>
      <c r="G68" s="27">
        <v>347691.44399999996</v>
      </c>
      <c r="H68" s="27">
        <v>793706.42000000016</v>
      </c>
      <c r="I68" s="27"/>
    </row>
    <row r="69" spans="1:17" x14ac:dyDescent="0.35">
      <c r="A69" s="161"/>
      <c r="B69" s="160"/>
      <c r="C69" s="66" t="s">
        <v>73</v>
      </c>
      <c r="D69" s="27">
        <v>6551924.3310000096</v>
      </c>
      <c r="E69" s="27">
        <v>4699027.9309999971</v>
      </c>
      <c r="F69" s="27">
        <v>29318887.102000009</v>
      </c>
      <c r="G69" s="27">
        <v>300429.4740000001</v>
      </c>
      <c r="H69" s="27">
        <v>790967.02</v>
      </c>
      <c r="I69" s="27"/>
      <c r="L69" s="166" t="s">
        <v>155</v>
      </c>
      <c r="M69" s="166"/>
      <c r="N69" s="88" t="s">
        <v>77</v>
      </c>
      <c r="O69" s="88" t="s">
        <v>14</v>
      </c>
      <c r="P69" s="88" t="s">
        <v>78</v>
      </c>
      <c r="Q69" s="88" t="s">
        <v>40</v>
      </c>
    </row>
    <row r="70" spans="1:17" x14ac:dyDescent="0.35">
      <c r="A70" s="161"/>
      <c r="B70" s="159" t="s">
        <v>85</v>
      </c>
      <c r="C70" s="66" t="s">
        <v>71</v>
      </c>
      <c r="D70" s="27">
        <v>6159225.1390000004</v>
      </c>
      <c r="E70" s="27">
        <v>4466317.8000000017</v>
      </c>
      <c r="F70" s="27">
        <v>29026901.469000015</v>
      </c>
      <c r="G70" s="27">
        <v>249925.47400000005</v>
      </c>
      <c r="H70" s="27">
        <v>744504.84600000037</v>
      </c>
      <c r="I70" s="27"/>
      <c r="L70" s="83" t="s">
        <v>88</v>
      </c>
      <c r="M70" s="66" t="s">
        <v>71</v>
      </c>
      <c r="N70" s="68">
        <f>(D74+E74)/(D50+E50)-1</f>
        <v>2.3802835920936793E-2</v>
      </c>
      <c r="O70" s="68">
        <f t="shared" ref="O70:Q70" si="34">(E74+F74)/(E50+F50)-1</f>
        <v>1.0404079416093559E-2</v>
      </c>
      <c r="P70" s="68">
        <f t="shared" si="34"/>
        <v>2.3210367814659572E-2</v>
      </c>
      <c r="Q70" s="68">
        <f t="shared" si="34"/>
        <v>3.2960727972102477E-2</v>
      </c>
    </row>
    <row r="71" spans="1:17" x14ac:dyDescent="0.35">
      <c r="A71" s="161"/>
      <c r="B71" s="160"/>
      <c r="C71" s="66" t="s">
        <v>73</v>
      </c>
      <c r="D71" s="27">
        <v>6148401.1599999983</v>
      </c>
      <c r="E71" s="27">
        <v>4377060.5619999999</v>
      </c>
      <c r="F71" s="27">
        <v>29908771.906999994</v>
      </c>
      <c r="G71" s="27">
        <v>300626.54399999999</v>
      </c>
      <c r="H71" s="27">
        <v>721435.97000000009</v>
      </c>
      <c r="I71" s="27"/>
      <c r="L71" s="84"/>
      <c r="M71" s="66" t="s">
        <v>73</v>
      </c>
      <c r="N71" s="68">
        <f t="shared" ref="N71:N92" si="35">(D75+E75)/(D51+E51)-1</f>
        <v>-4.6250139753008623E-2</v>
      </c>
      <c r="O71" s="68">
        <f t="shared" ref="O71:O93" si="36">(E75+F75)/(E51+F51)-1</f>
        <v>8.0333800812610878E-3</v>
      </c>
      <c r="P71" s="68">
        <f t="shared" ref="P71:P93" si="37">(F75+G75)/(F51+G51)-1</f>
        <v>3.2161860994678992E-2</v>
      </c>
      <c r="Q71" s="68">
        <f t="shared" ref="Q71:Q93" si="38">(G75+H75)/(G51+H51)-1</f>
        <v>3.9286284937445348E-2</v>
      </c>
    </row>
    <row r="72" spans="1:17" x14ac:dyDescent="0.35">
      <c r="A72" s="161"/>
      <c r="B72" s="159" t="s">
        <v>86</v>
      </c>
      <c r="C72" s="66" t="s">
        <v>71</v>
      </c>
      <c r="D72" s="27">
        <v>6503545.3109999988</v>
      </c>
      <c r="E72" s="27">
        <v>4831802.1189999981</v>
      </c>
      <c r="F72" s="27">
        <v>31358265.840000015</v>
      </c>
      <c r="G72" s="27">
        <v>308632.61800000002</v>
      </c>
      <c r="H72" s="27">
        <v>759232.92000000027</v>
      </c>
      <c r="I72" s="27"/>
      <c r="L72" s="83" t="s">
        <v>70</v>
      </c>
      <c r="M72" s="66" t="s">
        <v>71</v>
      </c>
      <c r="N72" s="68">
        <f t="shared" si="35"/>
        <v>-0.13182443469182137</v>
      </c>
      <c r="O72" s="68">
        <f t="shared" si="36"/>
        <v>-6.7963135219152648E-2</v>
      </c>
      <c r="P72" s="68">
        <f t="shared" si="37"/>
        <v>-4.2039462212862144E-2</v>
      </c>
      <c r="Q72" s="68">
        <f t="shared" si="38"/>
        <v>-2.2125514413577796E-2</v>
      </c>
    </row>
    <row r="73" spans="1:17" x14ac:dyDescent="0.35">
      <c r="A73" s="161"/>
      <c r="B73" s="160"/>
      <c r="C73" s="66" t="s">
        <v>73</v>
      </c>
      <c r="D73" s="27">
        <v>6740711.1800000016</v>
      </c>
      <c r="E73" s="27">
        <v>5106002.2249999968</v>
      </c>
      <c r="F73" s="27">
        <v>28254093.400999974</v>
      </c>
      <c r="G73" s="27">
        <v>308181.31800000003</v>
      </c>
      <c r="H73" s="27">
        <v>796829.4300000004</v>
      </c>
      <c r="I73" s="27"/>
      <c r="L73" s="84"/>
      <c r="M73" s="66" t="s">
        <v>73</v>
      </c>
      <c r="N73" s="68">
        <f t="shared" si="35"/>
        <v>3.0093175441616937E-2</v>
      </c>
      <c r="O73" s="68">
        <f t="shared" si="36"/>
        <v>3.103393425311074E-2</v>
      </c>
      <c r="P73" s="68">
        <f t="shared" si="37"/>
        <v>4.2836832837596095E-2</v>
      </c>
      <c r="Q73" s="68">
        <f>(G77+H77)/(G53+H53)-1</f>
        <v>0.14899832217037257</v>
      </c>
    </row>
    <row r="74" spans="1:17" x14ac:dyDescent="0.35">
      <c r="A74" s="161" t="s">
        <v>154</v>
      </c>
      <c r="B74" s="159" t="s">
        <v>88</v>
      </c>
      <c r="C74" s="66" t="s">
        <v>71</v>
      </c>
      <c r="D74" s="138">
        <v>5562480.7270000027</v>
      </c>
      <c r="E74" s="138">
        <v>4089027.1379999989</v>
      </c>
      <c r="F74" s="138">
        <v>26174199.840999998</v>
      </c>
      <c r="G74" s="138">
        <v>252859.93300000005</v>
      </c>
      <c r="H74" s="138">
        <v>669005.44000000029</v>
      </c>
      <c r="I74" s="27"/>
      <c r="L74" s="83" t="s">
        <v>74</v>
      </c>
      <c r="M74" s="66" t="s">
        <v>71</v>
      </c>
      <c r="N74" s="68">
        <f t="shared" si="35"/>
        <v>0.19549606630351257</v>
      </c>
      <c r="O74" s="68">
        <f t="shared" si="36"/>
        <v>0.10395916199380095</v>
      </c>
      <c r="P74" s="68">
        <f t="shared" si="37"/>
        <v>0.11593325680241362</v>
      </c>
      <c r="Q74" s="68">
        <f t="shared" si="38"/>
        <v>0.5974340709363013</v>
      </c>
    </row>
    <row r="75" spans="1:17" x14ac:dyDescent="0.35">
      <c r="A75" s="161"/>
      <c r="B75" s="160"/>
      <c r="C75" s="66" t="s">
        <v>73</v>
      </c>
      <c r="D75" s="138">
        <v>5652657.0850000046</v>
      </c>
      <c r="E75" s="138">
        <v>4022432.0770000038</v>
      </c>
      <c r="F75" s="138">
        <v>28300458.743000001</v>
      </c>
      <c r="G75" s="138">
        <v>305315.23699999996</v>
      </c>
      <c r="H75" s="138">
        <v>696255.49000000022</v>
      </c>
      <c r="I75" s="27"/>
      <c r="L75" s="84"/>
      <c r="M75" s="66" t="s">
        <v>73</v>
      </c>
      <c r="N75" s="68">
        <f t="shared" si="35"/>
        <v>7.9222467446586231E-2</v>
      </c>
      <c r="O75" s="68">
        <f t="shared" si="36"/>
        <v>5.7563110874811807E-2</v>
      </c>
      <c r="P75" s="68">
        <f t="shared" si="37"/>
        <v>6.5732086526063105E-2</v>
      </c>
      <c r="Q75" s="68">
        <f t="shared" si="38"/>
        <v>0.16446301398180729</v>
      </c>
    </row>
    <row r="76" spans="1:17" x14ac:dyDescent="0.35">
      <c r="A76" s="161"/>
      <c r="B76" s="159" t="s">
        <v>70</v>
      </c>
      <c r="C76" s="66" t="s">
        <v>71</v>
      </c>
      <c r="D76" s="138">
        <v>5567785.1079999991</v>
      </c>
      <c r="E76" s="138">
        <v>4048256.6700000013</v>
      </c>
      <c r="F76" s="138">
        <v>27904483.091000017</v>
      </c>
      <c r="G76" s="138">
        <v>305988.63899999997</v>
      </c>
      <c r="H76" s="138">
        <v>669551.09400000016</v>
      </c>
      <c r="I76" s="27"/>
      <c r="L76" s="83" t="s">
        <v>75</v>
      </c>
      <c r="M76" s="66" t="s">
        <v>71</v>
      </c>
      <c r="N76" s="68">
        <f t="shared" si="35"/>
        <v>7.5491121830178365E-2</v>
      </c>
      <c r="O76" s="68">
        <f t="shared" si="36"/>
        <v>5.9195216072887025E-2</v>
      </c>
      <c r="P76" s="68">
        <f t="shared" si="37"/>
        <v>7.1151933653433197E-2</v>
      </c>
      <c r="Q76" s="68">
        <f t="shared" si="38"/>
        <v>-1.5611501946255046E-2</v>
      </c>
    </row>
    <row r="77" spans="1:17" x14ac:dyDescent="0.35">
      <c r="A77" s="161"/>
      <c r="B77" s="160"/>
      <c r="C77" s="66" t="s">
        <v>73</v>
      </c>
      <c r="D77" s="138">
        <v>4878693.4159999983</v>
      </c>
      <c r="E77" s="138">
        <v>3608239.2430000012</v>
      </c>
      <c r="F77" s="138">
        <v>22508680.494999971</v>
      </c>
      <c r="G77" s="138">
        <v>291613.75599999988</v>
      </c>
      <c r="H77" s="138">
        <v>587825.59000000008</v>
      </c>
      <c r="I77" s="27"/>
      <c r="L77" s="84"/>
      <c r="M77" s="66" t="s">
        <v>73</v>
      </c>
      <c r="N77" s="68">
        <f t="shared" si="35"/>
        <v>5.3818648120462775E-3</v>
      </c>
      <c r="O77" s="68">
        <f t="shared" si="36"/>
        <v>-2.8442278937335308E-2</v>
      </c>
      <c r="P77" s="68">
        <f t="shared" si="37"/>
        <v>-1.9199238645535521E-2</v>
      </c>
      <c r="Q77" s="68">
        <f t="shared" si="38"/>
        <v>-1.0845735341233897E-2</v>
      </c>
    </row>
    <row r="78" spans="1:17" x14ac:dyDescent="0.35">
      <c r="A78" s="161"/>
      <c r="B78" s="159" t="s">
        <v>74</v>
      </c>
      <c r="C78" s="66" t="s">
        <v>71</v>
      </c>
      <c r="D78" s="138">
        <v>6450896.7420000061</v>
      </c>
      <c r="E78" s="138">
        <v>4454518.5549999997</v>
      </c>
      <c r="F78" s="138">
        <v>29350281.10000002</v>
      </c>
      <c r="G78" s="138">
        <v>640766.20799999998</v>
      </c>
      <c r="H78" s="138">
        <v>793707.8609999998</v>
      </c>
      <c r="L78" s="83" t="s">
        <v>79</v>
      </c>
      <c r="M78" s="66" t="s">
        <v>71</v>
      </c>
      <c r="N78" s="68">
        <f t="shared" si="35"/>
        <v>-6.8938046914349682E-2</v>
      </c>
      <c r="O78" s="68">
        <f t="shared" si="36"/>
        <v>-1.7029766381018385E-2</v>
      </c>
      <c r="P78" s="68">
        <f t="shared" si="37"/>
        <v>2.2194031103068834E-2</v>
      </c>
      <c r="Q78" s="68">
        <f t="shared" si="38"/>
        <v>9.4755131838453632E-2</v>
      </c>
    </row>
    <row r="79" spans="1:17" x14ac:dyDescent="0.35">
      <c r="A79" s="161"/>
      <c r="B79" s="160"/>
      <c r="C79" s="66" t="s">
        <v>73</v>
      </c>
      <c r="D79" s="138">
        <v>5848730.0289999992</v>
      </c>
      <c r="E79" s="138">
        <v>3773906.0769999996</v>
      </c>
      <c r="F79" s="138">
        <v>27826776.536000013</v>
      </c>
      <c r="G79" s="138">
        <v>239729.15099999993</v>
      </c>
      <c r="H79" s="138">
        <v>797642.67999999982</v>
      </c>
      <c r="L79" s="84"/>
      <c r="M79" s="66" t="s">
        <v>73</v>
      </c>
      <c r="N79" s="68">
        <f t="shared" si="35"/>
        <v>-5.1417700565722591E-2</v>
      </c>
      <c r="O79" s="68">
        <f t="shared" si="36"/>
        <v>2.1053123319953126E-2</v>
      </c>
      <c r="P79" s="68">
        <f t="shared" si="37"/>
        <v>6.7196707137859857E-2</v>
      </c>
      <c r="Q79" s="68">
        <f t="shared" si="38"/>
        <v>5.658626145369694E-2</v>
      </c>
    </row>
    <row r="80" spans="1:17" x14ac:dyDescent="0.35">
      <c r="A80" s="161"/>
      <c r="B80" s="159" t="s">
        <v>75</v>
      </c>
      <c r="C80" s="66" t="s">
        <v>71</v>
      </c>
      <c r="D80" s="138">
        <v>6641373.1390000004</v>
      </c>
      <c r="E80" s="138">
        <v>4175169.0690000006</v>
      </c>
      <c r="F80" s="138">
        <v>27524889.908999998</v>
      </c>
      <c r="G80" s="138">
        <v>212746.61199999999</v>
      </c>
      <c r="H80" s="138">
        <v>780728.91999999981</v>
      </c>
      <c r="L80" s="83" t="s">
        <v>80</v>
      </c>
      <c r="M80" s="66" t="s">
        <v>71</v>
      </c>
      <c r="N80" s="68">
        <f t="shared" si="35"/>
        <v>-8.7435676467282009E-2</v>
      </c>
      <c r="O80" s="68">
        <f t="shared" si="36"/>
        <v>-7.0127881318885366E-2</v>
      </c>
      <c r="P80" s="68">
        <f t="shared" si="37"/>
        <v>-3.279569342464872E-2</v>
      </c>
      <c r="Q80" s="68">
        <f t="shared" si="38"/>
        <v>6.486917329466535E-2</v>
      </c>
    </row>
    <row r="81" spans="1:17" x14ac:dyDescent="0.35">
      <c r="A81" s="161"/>
      <c r="B81" s="160"/>
      <c r="C81" s="66" t="s">
        <v>73</v>
      </c>
      <c r="D81" s="138">
        <v>6459266.7520000022</v>
      </c>
      <c r="E81" s="138">
        <v>4080622.8760000039</v>
      </c>
      <c r="F81" s="138">
        <v>27391288.958000023</v>
      </c>
      <c r="G81" s="138">
        <v>331214.71099999995</v>
      </c>
      <c r="H81" s="138">
        <v>803449.07000000018</v>
      </c>
      <c r="L81" s="84"/>
      <c r="M81" s="66" t="s">
        <v>73</v>
      </c>
      <c r="N81" s="68">
        <f t="shared" si="35"/>
        <v>-0.10458509102647873</v>
      </c>
      <c r="O81" s="68">
        <f t="shared" si="36"/>
        <v>-7.4931029008503569E-2</v>
      </c>
      <c r="P81" s="68">
        <f t="shared" si="37"/>
        <v>-3.1835110091490648E-2</v>
      </c>
      <c r="Q81" s="68">
        <f t="shared" si="38"/>
        <v>5.42697142179287E-2</v>
      </c>
    </row>
    <row r="82" spans="1:17" x14ac:dyDescent="0.35">
      <c r="A82" s="161"/>
      <c r="B82" s="159" t="s">
        <v>79</v>
      </c>
      <c r="C82" s="66" t="s">
        <v>71</v>
      </c>
      <c r="D82" s="138">
        <v>7327864.3639999973</v>
      </c>
      <c r="E82" s="138">
        <v>4542628.0789999999</v>
      </c>
      <c r="F82" s="138">
        <v>29431584.200000018</v>
      </c>
      <c r="G82" s="138">
        <v>413046.87800000008</v>
      </c>
      <c r="H82" s="138">
        <v>849222.21800000023</v>
      </c>
      <c r="L82" s="83" t="s">
        <v>81</v>
      </c>
      <c r="M82" s="66" t="s">
        <v>71</v>
      </c>
      <c r="N82" s="68">
        <f t="shared" si="35"/>
        <v>-8.9708896992591547E-2</v>
      </c>
      <c r="O82" s="68">
        <f t="shared" si="36"/>
        <v>-8.259590900434044E-2</v>
      </c>
      <c r="P82" s="68">
        <f t="shared" si="37"/>
        <v>-5.1071317681388284E-2</v>
      </c>
      <c r="Q82" s="68">
        <f t="shared" si="38"/>
        <v>4.3081617507768843E-2</v>
      </c>
    </row>
    <row r="83" spans="1:17" x14ac:dyDescent="0.35">
      <c r="A83" s="161"/>
      <c r="B83" s="160"/>
      <c r="C83" s="66" t="s">
        <v>73</v>
      </c>
      <c r="D83" s="138">
        <v>7614298.8049999978</v>
      </c>
      <c r="E83" s="138">
        <v>4691062.4359999998</v>
      </c>
      <c r="F83" s="138">
        <v>31770902.522000011</v>
      </c>
      <c r="G83" s="138">
        <v>305606.26799999992</v>
      </c>
      <c r="H83" s="138">
        <v>908754.85000000021</v>
      </c>
      <c r="L83" s="84"/>
      <c r="M83" s="66" t="s">
        <v>73</v>
      </c>
      <c r="N83" s="68">
        <f t="shared" si="35"/>
        <v>-7.3671272056674231E-2</v>
      </c>
      <c r="O83" s="68">
        <f t="shared" si="36"/>
        <v>-0.10459115482363723</v>
      </c>
      <c r="P83" s="68">
        <f t="shared" si="37"/>
        <v>-8.8866827276612881E-2</v>
      </c>
      <c r="Q83" s="68">
        <f t="shared" si="38"/>
        <v>-2.0675892582500133E-2</v>
      </c>
    </row>
    <row r="84" spans="1:17" x14ac:dyDescent="0.35">
      <c r="A84" s="161"/>
      <c r="B84" s="159" t="s">
        <v>80</v>
      </c>
      <c r="C84" s="66" t="s">
        <v>71</v>
      </c>
      <c r="D84" s="138">
        <v>8014251.342000003</v>
      </c>
      <c r="E84" s="138">
        <v>4871017.4189999988</v>
      </c>
      <c r="F84" s="138">
        <v>29747671.373999972</v>
      </c>
      <c r="G84" s="138">
        <v>352160.69600000017</v>
      </c>
      <c r="H84" s="138">
        <v>925934.25999999989</v>
      </c>
      <c r="L84" s="83" t="s">
        <v>82</v>
      </c>
      <c r="M84" s="66" t="s">
        <v>71</v>
      </c>
      <c r="N84" s="68">
        <f t="shared" si="35"/>
        <v>1.9001181512703802E-2</v>
      </c>
      <c r="O84" s="68">
        <f t="shared" si="36"/>
        <v>1.7420063900057681E-2</v>
      </c>
      <c r="P84" s="68">
        <f t="shared" si="37"/>
        <v>4.0785588995028377E-2</v>
      </c>
      <c r="Q84" s="68">
        <f t="shared" si="38"/>
        <v>0.16711483997031018</v>
      </c>
    </row>
    <row r="85" spans="1:17" x14ac:dyDescent="0.35">
      <c r="A85" s="161"/>
      <c r="B85" s="160"/>
      <c r="C85" s="66" t="s">
        <v>73</v>
      </c>
      <c r="D85" s="138">
        <v>7923808.5179999964</v>
      </c>
      <c r="E85" s="138">
        <v>4685793.416000003</v>
      </c>
      <c r="F85" s="138">
        <v>26689217.026000012</v>
      </c>
      <c r="G85" s="138">
        <v>364158.07</v>
      </c>
      <c r="H85" s="138">
        <v>937319.20000000019</v>
      </c>
      <c r="L85" s="84"/>
      <c r="M85" s="66" t="s">
        <v>73</v>
      </c>
      <c r="N85" s="68">
        <f t="shared" si="35"/>
        <v>-2.8200656269692703E-2</v>
      </c>
      <c r="O85" s="68">
        <f t="shared" si="36"/>
        <v>-2.0674585715169003E-2</v>
      </c>
      <c r="P85" s="68">
        <f t="shared" si="37"/>
        <v>3.6636176305537838E-4</v>
      </c>
      <c r="Q85" s="68">
        <f t="shared" si="38"/>
        <v>0.15563670365231119</v>
      </c>
    </row>
    <row r="86" spans="1:17" x14ac:dyDescent="0.35">
      <c r="A86" s="161"/>
      <c r="B86" s="159" t="s">
        <v>81</v>
      </c>
      <c r="C86" s="66" t="s">
        <v>71</v>
      </c>
      <c r="D86" s="138">
        <v>8500727.7870000023</v>
      </c>
      <c r="E86" s="138">
        <v>4925824.1080000056</v>
      </c>
      <c r="F86" s="138">
        <v>30198499.196000054</v>
      </c>
      <c r="G86" s="138">
        <v>377624.92800000007</v>
      </c>
      <c r="H86" s="138">
        <v>1012936.32</v>
      </c>
      <c r="L86" s="83" t="s">
        <v>83</v>
      </c>
      <c r="M86" s="66" t="s">
        <v>71</v>
      </c>
      <c r="N86" s="68">
        <f t="shared" si="35"/>
        <v>-7.0779705053910291E-2</v>
      </c>
      <c r="O86" s="68">
        <f t="shared" si="36"/>
        <v>-5.6114228208481443E-2</v>
      </c>
      <c r="P86" s="68">
        <f t="shared" si="37"/>
        <v>-3.0303785486567758E-2</v>
      </c>
      <c r="Q86" s="68">
        <f t="shared" si="38"/>
        <v>0.13066411107529752</v>
      </c>
    </row>
    <row r="87" spans="1:17" x14ac:dyDescent="0.35">
      <c r="A87" s="161"/>
      <c r="B87" s="160"/>
      <c r="C87" s="66" t="s">
        <v>73</v>
      </c>
      <c r="D87" s="138">
        <v>8421391.1459999979</v>
      </c>
      <c r="E87" s="138">
        <v>5075629.3339999998</v>
      </c>
      <c r="F87" s="138">
        <v>29510216.312000021</v>
      </c>
      <c r="G87" s="138">
        <v>429955.58100000001</v>
      </c>
      <c r="H87" s="138">
        <v>1041780.5800000002</v>
      </c>
      <c r="L87" s="84"/>
      <c r="M87" s="66" t="s">
        <v>73</v>
      </c>
      <c r="N87" s="68">
        <f t="shared" si="35"/>
        <v>-4.8973229679346364E-2</v>
      </c>
      <c r="O87" s="68">
        <f t="shared" si="36"/>
        <v>-5.2973992072391618E-2</v>
      </c>
      <c r="P87" s="68">
        <f t="shared" si="37"/>
        <v>-3.4462103508797748E-2</v>
      </c>
      <c r="Q87" s="68">
        <f t="shared" si="38"/>
        <v>0.10018691059347207</v>
      </c>
    </row>
    <row r="88" spans="1:17" x14ac:dyDescent="0.35">
      <c r="A88" s="161"/>
      <c r="B88" s="159" t="s">
        <v>82</v>
      </c>
      <c r="C88" s="66" t="s">
        <v>71</v>
      </c>
      <c r="D88" s="138">
        <v>8283121.9549999917</v>
      </c>
      <c r="E88" s="138">
        <v>5231172.2889999989</v>
      </c>
      <c r="F88" s="138">
        <v>31613753.944000002</v>
      </c>
      <c r="G88" s="138">
        <v>528116.152</v>
      </c>
      <c r="H88" s="138">
        <v>1002532.51</v>
      </c>
      <c r="L88" s="83" t="s">
        <v>84</v>
      </c>
      <c r="M88" s="66" t="s">
        <v>71</v>
      </c>
      <c r="N88" s="68">
        <f t="shared" si="35"/>
        <v>-5.0427636808216159E-2</v>
      </c>
      <c r="O88" s="68">
        <f t="shared" si="36"/>
        <v>-5.3839492350656659E-2</v>
      </c>
      <c r="P88" s="68">
        <f t="shared" si="37"/>
        <v>-3.6250063970033497E-2</v>
      </c>
      <c r="Q88" s="68">
        <f t="shared" si="38"/>
        <v>0.1116458064442285</v>
      </c>
    </row>
    <row r="89" spans="1:17" x14ac:dyDescent="0.35">
      <c r="A89" s="161"/>
      <c r="B89" s="160"/>
      <c r="C89" s="66" t="s">
        <v>73</v>
      </c>
      <c r="D89" s="138">
        <v>7886659.2439999962</v>
      </c>
      <c r="E89" s="138">
        <v>5017202.8609999986</v>
      </c>
      <c r="F89" s="138">
        <v>32413774.337999977</v>
      </c>
      <c r="G89" s="138">
        <v>522113.85699999984</v>
      </c>
      <c r="H89" s="138">
        <v>1047723.3399999994</v>
      </c>
      <c r="L89" s="84"/>
      <c r="M89" s="66" t="s">
        <v>73</v>
      </c>
      <c r="N89" s="68">
        <f t="shared" si="35"/>
        <v>-5.5501170163973934E-2</v>
      </c>
      <c r="O89" s="68">
        <f t="shared" si="36"/>
        <v>2.7492956846193461E-3</v>
      </c>
      <c r="P89" s="68">
        <f t="shared" si="37"/>
        <v>3.0370430785997993E-2</v>
      </c>
      <c r="Q89" s="68">
        <f t="shared" si="38"/>
        <v>0.17214324677865389</v>
      </c>
    </row>
    <row r="90" spans="1:17" x14ac:dyDescent="0.35">
      <c r="A90" s="161"/>
      <c r="B90" s="159" t="s">
        <v>83</v>
      </c>
      <c r="C90" s="66" t="s">
        <v>71</v>
      </c>
      <c r="D90" s="138">
        <v>7267679.4159999965</v>
      </c>
      <c r="E90" s="138">
        <v>4560688.3260000004</v>
      </c>
      <c r="F90" s="138">
        <v>30406903.752000004</v>
      </c>
      <c r="G90" s="138">
        <v>470618.76400000002</v>
      </c>
      <c r="H90" s="138">
        <v>938242.9099999998</v>
      </c>
      <c r="L90" s="83" t="s">
        <v>85</v>
      </c>
      <c r="M90" s="66" t="s">
        <v>71</v>
      </c>
      <c r="N90" s="68">
        <f>(D94+E94)/(D70+E70)-1</f>
        <v>2.6298911463086938E-2</v>
      </c>
      <c r="O90" s="68">
        <f t="shared" si="36"/>
        <v>-1.6511225617354963E-4</v>
      </c>
      <c r="P90" s="68">
        <f t="shared" si="37"/>
        <v>1.7610404057918361E-2</v>
      </c>
      <c r="Q90" s="68">
        <f t="shared" si="38"/>
        <v>0.16980175745244686</v>
      </c>
    </row>
    <row r="91" spans="1:17" x14ac:dyDescent="0.35">
      <c r="A91" s="161"/>
      <c r="B91" s="160"/>
      <c r="C91" s="66" t="s">
        <v>73</v>
      </c>
      <c r="D91" s="138">
        <v>6766144.665</v>
      </c>
      <c r="E91" s="138">
        <v>4230889.4479999999</v>
      </c>
      <c r="F91" s="138">
        <v>29437373.496000007</v>
      </c>
      <c r="G91" s="138">
        <v>396653.38699999987</v>
      </c>
      <c r="H91" s="138">
        <v>901046.24</v>
      </c>
      <c r="L91" s="84"/>
      <c r="M91" s="66" t="s">
        <v>73</v>
      </c>
      <c r="N91" s="68">
        <f t="shared" si="35"/>
        <v>-3.5449927124820979E-2</v>
      </c>
      <c r="O91" s="68">
        <f t="shared" si="36"/>
        <v>-1.5588746211230631E-2</v>
      </c>
      <c r="P91" s="68">
        <f t="shared" si="37"/>
        <v>7.2991793053294174E-3</v>
      </c>
      <c r="Q91" s="68">
        <f t="shared" si="38"/>
        <v>0.19409105928720138</v>
      </c>
    </row>
    <row r="92" spans="1:17" x14ac:dyDescent="0.35">
      <c r="A92" s="161"/>
      <c r="B92" s="159" t="s">
        <v>84</v>
      </c>
      <c r="C92" s="66" t="s">
        <v>71</v>
      </c>
      <c r="D92" s="138">
        <v>6913693.4580000052</v>
      </c>
      <c r="E92" s="138">
        <v>4253530.8610000005</v>
      </c>
      <c r="F92" s="138">
        <v>29168288.154000018</v>
      </c>
      <c r="G92" s="138">
        <v>332809.22899999999</v>
      </c>
      <c r="H92" s="138">
        <v>936020.92</v>
      </c>
      <c r="L92" s="83" t="s">
        <v>86</v>
      </c>
      <c r="M92" s="66" t="s">
        <v>71</v>
      </c>
      <c r="N92" s="68">
        <f t="shared" si="35"/>
        <v>2.4004571688721832E-2</v>
      </c>
      <c r="O92" s="68">
        <f t="shared" si="36"/>
        <v>2.8548243931745709E-2</v>
      </c>
      <c r="P92" s="68">
        <f t="shared" si="37"/>
        <v>5.2121719504330422E-2</v>
      </c>
      <c r="Q92" s="68">
        <f t="shared" si="38"/>
        <v>0.24847400216411897</v>
      </c>
    </row>
    <row r="93" spans="1:17" x14ac:dyDescent="0.35">
      <c r="A93" s="161"/>
      <c r="B93" s="160"/>
      <c r="C93" s="66" t="s">
        <v>73</v>
      </c>
      <c r="D93" s="138">
        <v>6713772.0959999943</v>
      </c>
      <c r="E93" s="138">
        <v>3912739.1500000013</v>
      </c>
      <c r="F93" s="138">
        <v>30198701.189999983</v>
      </c>
      <c r="G93" s="138">
        <v>320166.78999999992</v>
      </c>
      <c r="H93" s="138">
        <v>959106.23999999987</v>
      </c>
      <c r="L93" s="84"/>
      <c r="M93" s="66" t="s">
        <v>73</v>
      </c>
      <c r="N93" s="68">
        <f>(D97+E97)/(D73+E73)-1</f>
        <v>-0.15212243728622521</v>
      </c>
      <c r="O93" s="68">
        <f t="shared" si="36"/>
        <v>-0.11897314511612778</v>
      </c>
      <c r="P93" s="68">
        <f t="shared" si="37"/>
        <v>-8.7757404641606085E-2</v>
      </c>
      <c r="Q93" s="68">
        <f t="shared" si="38"/>
        <v>0.20450474206609237</v>
      </c>
    </row>
    <row r="94" spans="1:17" x14ac:dyDescent="0.35">
      <c r="A94" s="161"/>
      <c r="B94" s="159" t="s">
        <v>85</v>
      </c>
      <c r="C94" s="66" t="s">
        <v>71</v>
      </c>
      <c r="D94" s="138">
        <v>6950700.7229999946</v>
      </c>
      <c r="E94" s="138">
        <v>3954282.4289999986</v>
      </c>
      <c r="F94" s="138">
        <v>29533406.698999997</v>
      </c>
      <c r="G94" s="138">
        <v>258996.99600000001</v>
      </c>
      <c r="H94" s="138">
        <v>904289.33999999973</v>
      </c>
      <c r="M94" s="86" t="s">
        <v>89</v>
      </c>
      <c r="N94" s="87">
        <f>SUM(D74:E97)/SUM(D50:E73)-1</f>
        <v>-3.3104639190510654E-2</v>
      </c>
      <c r="O94" s="87">
        <f t="shared" ref="O94:Q94" si="39">SUM(E74:F97)/SUM(E50:F73)-1</f>
        <v>-2.0597643814296185E-2</v>
      </c>
      <c r="P94" s="87">
        <f t="shared" si="39"/>
        <v>3.4745734830621267E-3</v>
      </c>
      <c r="Q94" s="87">
        <f t="shared" si="39"/>
        <v>0.11423698585156883</v>
      </c>
    </row>
    <row r="95" spans="1:17" x14ac:dyDescent="0.35">
      <c r="A95" s="161"/>
      <c r="B95" s="160"/>
      <c r="C95" s="66" t="s">
        <v>73</v>
      </c>
      <c r="D95" s="138">
        <v>6512867.7800000031</v>
      </c>
      <c r="E95" s="138">
        <v>3639467.0910000033</v>
      </c>
      <c r="F95" s="138">
        <v>30111892.236999981</v>
      </c>
      <c r="G95" s="138">
        <v>318010.03000000009</v>
      </c>
      <c r="H95" s="138">
        <v>902425.68</v>
      </c>
    </row>
    <row r="96" spans="1:17" x14ac:dyDescent="0.35">
      <c r="A96" s="161"/>
      <c r="B96" s="159" t="s">
        <v>86</v>
      </c>
      <c r="C96" s="66" t="s">
        <v>71</v>
      </c>
      <c r="D96" s="138">
        <v>7304995.8679999989</v>
      </c>
      <c r="E96" s="138">
        <v>4302451.7220000001</v>
      </c>
      <c r="F96" s="138">
        <v>32920779.125000004</v>
      </c>
      <c r="G96" s="138">
        <v>396652.53199999995</v>
      </c>
      <c r="H96" s="138">
        <v>936549.83000000031</v>
      </c>
    </row>
    <row r="97" spans="1:9" x14ac:dyDescent="0.35">
      <c r="A97" s="161"/>
      <c r="B97" s="160"/>
      <c r="C97" s="66" t="s">
        <v>73</v>
      </c>
      <c r="D97" s="138">
        <v>6332659.893000002</v>
      </c>
      <c r="E97" s="138">
        <v>3711902.5949999993</v>
      </c>
      <c r="F97" s="138">
        <v>25679237.532999977</v>
      </c>
      <c r="G97" s="138">
        <v>376486.08600000001</v>
      </c>
      <c r="H97" s="138">
        <v>954504.60000000021</v>
      </c>
    </row>
    <row r="98" spans="1:9" x14ac:dyDescent="0.35">
      <c r="A98" s="161" t="s">
        <v>157</v>
      </c>
      <c r="B98" s="159" t="s">
        <v>88</v>
      </c>
      <c r="C98" s="66" t="s">
        <v>71</v>
      </c>
      <c r="D98" s="27">
        <v>5999907.939999993</v>
      </c>
      <c r="E98" s="27">
        <v>3414278.4750000024</v>
      </c>
      <c r="F98" s="27">
        <v>26229275.10599998</v>
      </c>
      <c r="G98" s="27">
        <v>80600.544000000024</v>
      </c>
      <c r="H98" s="27">
        <v>823292.4100000005</v>
      </c>
      <c r="I98" s="139"/>
    </row>
    <row r="99" spans="1:9" x14ac:dyDescent="0.35">
      <c r="A99" s="161"/>
      <c r="B99" s="160"/>
      <c r="C99" s="66" t="s">
        <v>73</v>
      </c>
      <c r="D99" s="27">
        <v>6161672.0910000019</v>
      </c>
      <c r="E99" s="27">
        <v>3453689.7149999999</v>
      </c>
      <c r="F99" s="27">
        <v>29503201.282000002</v>
      </c>
      <c r="G99" s="27">
        <v>95558.887999999963</v>
      </c>
      <c r="H99" s="27">
        <v>888807.63999999978</v>
      </c>
      <c r="I99" s="139"/>
    </row>
    <row r="100" spans="1:9" x14ac:dyDescent="0.35">
      <c r="A100" s="161"/>
      <c r="B100" s="159" t="s">
        <v>70</v>
      </c>
      <c r="C100" s="66" t="s">
        <v>71</v>
      </c>
      <c r="D100" s="27">
        <v>6563894.8179999972</v>
      </c>
      <c r="E100" s="27">
        <v>3697478.2499999991</v>
      </c>
      <c r="F100" s="27">
        <v>29515824.92900002</v>
      </c>
      <c r="G100" s="27">
        <v>98756.217000000004</v>
      </c>
      <c r="H100" s="27">
        <v>885421.86</v>
      </c>
      <c r="I100" s="139"/>
    </row>
    <row r="101" spans="1:9" x14ac:dyDescent="0.35">
      <c r="A101" s="161"/>
      <c r="B101" s="160"/>
      <c r="C101" s="66" t="s">
        <v>73</v>
      </c>
      <c r="D101" s="27">
        <v>5303031.0049999943</v>
      </c>
      <c r="E101" s="27">
        <v>3001925.5300000012</v>
      </c>
      <c r="F101" s="27">
        <v>23970521.120000005</v>
      </c>
      <c r="G101" s="27">
        <v>83750.504000000015</v>
      </c>
      <c r="H101" s="27">
        <v>771558.69900000002</v>
      </c>
      <c r="I101" s="139"/>
    </row>
    <row r="102" spans="1:9" x14ac:dyDescent="0.35">
      <c r="A102" s="161"/>
      <c r="B102" s="159" t="s">
        <v>74</v>
      </c>
      <c r="C102" s="66" t="s">
        <v>71</v>
      </c>
      <c r="D102" s="27">
        <v>6506086.362999999</v>
      </c>
      <c r="E102" s="27">
        <v>3691102.7829999989</v>
      </c>
      <c r="F102" s="27">
        <v>30028754.516999993</v>
      </c>
      <c r="G102" s="27">
        <v>100502.18700000001</v>
      </c>
      <c r="H102" s="27">
        <v>909223.95</v>
      </c>
      <c r="I102" s="140"/>
    </row>
    <row r="103" spans="1:9" x14ac:dyDescent="0.35">
      <c r="A103" s="161"/>
      <c r="B103" s="160"/>
      <c r="C103" s="66" t="s">
        <v>73</v>
      </c>
      <c r="D103" s="27">
        <v>6634020.1400000025</v>
      </c>
      <c r="E103" s="27">
        <v>3677832.5769999982</v>
      </c>
      <c r="F103" s="27">
        <v>29926372.390999995</v>
      </c>
      <c r="G103" s="27">
        <v>97190.642999999996</v>
      </c>
      <c r="H103" s="27">
        <v>973414.76299999992</v>
      </c>
      <c r="I103" s="140"/>
    </row>
    <row r="104" spans="1:9" x14ac:dyDescent="0.35">
      <c r="A104" s="161"/>
      <c r="B104" s="159" t="s">
        <v>75</v>
      </c>
      <c r="C104" s="66" t="s">
        <v>71</v>
      </c>
      <c r="D104" s="27">
        <v>7146240.8809999954</v>
      </c>
      <c r="E104" s="27">
        <v>4179695.936999999</v>
      </c>
      <c r="F104" s="27">
        <v>28439164.486999992</v>
      </c>
      <c r="G104" s="27">
        <v>146312.391</v>
      </c>
      <c r="H104" s="27">
        <v>966915.9520000004</v>
      </c>
    </row>
    <row r="105" spans="1:9" x14ac:dyDescent="0.35">
      <c r="A105" s="161"/>
      <c r="B105" s="160"/>
      <c r="C105" s="66" t="s">
        <v>73</v>
      </c>
      <c r="D105" s="27">
        <v>6696166.0989999985</v>
      </c>
      <c r="E105" s="27">
        <v>3981097.7199999988</v>
      </c>
      <c r="F105" s="27">
        <v>28882505.161000006</v>
      </c>
      <c r="G105" s="27">
        <v>237923.43400000007</v>
      </c>
      <c r="H105" s="27">
        <v>969653.50100000005</v>
      </c>
    </row>
    <row r="106" spans="1:9" x14ac:dyDescent="0.35">
      <c r="A106" s="161"/>
      <c r="B106" s="159" t="s">
        <v>79</v>
      </c>
      <c r="C106" s="66" t="s">
        <v>71</v>
      </c>
      <c r="D106" s="27">
        <v>7591307.2619999964</v>
      </c>
      <c r="E106" s="27">
        <v>4747120.6870000074</v>
      </c>
      <c r="F106" s="27">
        <v>30826871.439999994</v>
      </c>
      <c r="G106" s="27">
        <v>211733.31000000003</v>
      </c>
      <c r="H106" s="27">
        <v>1008479.1109999998</v>
      </c>
    </row>
    <row r="107" spans="1:9" x14ac:dyDescent="0.35">
      <c r="A107" s="161"/>
      <c r="B107" s="160"/>
      <c r="C107" s="66" t="s">
        <v>73</v>
      </c>
      <c r="D107" s="27">
        <v>7760188.0659999987</v>
      </c>
      <c r="E107" s="27">
        <v>4894688.8490000069</v>
      </c>
      <c r="F107" s="27">
        <v>32516401.665999997</v>
      </c>
      <c r="G107" s="27">
        <v>146798.462</v>
      </c>
      <c r="H107" s="27">
        <v>1078436.182</v>
      </c>
    </row>
    <row r="108" spans="1:9" x14ac:dyDescent="0.35">
      <c r="A108" s="161"/>
      <c r="B108" s="159" t="s">
        <v>80</v>
      </c>
      <c r="C108" s="66" t="s">
        <v>71</v>
      </c>
      <c r="D108" s="27">
        <v>7889839.7600000072</v>
      </c>
      <c r="E108" s="27">
        <v>4831609.1700000018</v>
      </c>
      <c r="F108" s="27">
        <v>31384467.799999986</v>
      </c>
      <c r="G108" s="27">
        <v>129995.106</v>
      </c>
      <c r="H108" s="27">
        <v>1062487.2189999998</v>
      </c>
    </row>
    <row r="109" spans="1:9" x14ac:dyDescent="0.35">
      <c r="A109" s="161"/>
      <c r="B109" s="160"/>
      <c r="C109" s="66" t="s">
        <v>73</v>
      </c>
      <c r="D109" s="27">
        <v>8046071.8800000008</v>
      </c>
      <c r="E109" s="27">
        <v>4838604.5499999961</v>
      </c>
      <c r="F109" s="27">
        <v>29058450.593000017</v>
      </c>
      <c r="G109" s="27">
        <v>132864.14499999996</v>
      </c>
      <c r="H109" s="27">
        <v>1086434.9270000001</v>
      </c>
    </row>
    <row r="110" spans="1:9" x14ac:dyDescent="0.35">
      <c r="A110" s="161"/>
      <c r="B110" s="159" t="s">
        <v>81</v>
      </c>
      <c r="C110" s="66" t="s">
        <v>71</v>
      </c>
      <c r="D110" s="27">
        <v>8112143.3240000028</v>
      </c>
      <c r="E110" s="27">
        <v>4960810.9540000036</v>
      </c>
      <c r="F110" s="27">
        <v>29984191.535000011</v>
      </c>
      <c r="G110" s="27">
        <v>137013.24500000005</v>
      </c>
      <c r="H110" s="27">
        <v>1102240.3459999997</v>
      </c>
    </row>
    <row r="111" spans="1:9" x14ac:dyDescent="0.35">
      <c r="A111" s="161"/>
      <c r="B111" s="160"/>
      <c r="C111" s="66" t="s">
        <v>73</v>
      </c>
      <c r="D111" s="27">
        <v>8422482.2669999935</v>
      </c>
      <c r="E111" s="27">
        <v>5065709.7930000005</v>
      </c>
      <c r="F111" s="27">
        <v>31522726.256000012</v>
      </c>
      <c r="G111" s="27">
        <v>206398.73299999989</v>
      </c>
      <c r="H111" s="27">
        <v>1154797.21</v>
      </c>
    </row>
    <row r="112" spans="1:9" x14ac:dyDescent="0.35">
      <c r="A112" s="161"/>
      <c r="B112" s="159" t="s">
        <v>82</v>
      </c>
      <c r="C112" s="66" t="s">
        <v>71</v>
      </c>
      <c r="D112" s="27">
        <v>8424115.3209999986</v>
      </c>
      <c r="E112" s="27">
        <v>5054244.3509999961</v>
      </c>
      <c r="F112" s="27">
        <v>32277509.194000017</v>
      </c>
      <c r="G112" s="27">
        <v>305615.59800000006</v>
      </c>
      <c r="H112" s="27">
        <v>1131765.7709999999</v>
      </c>
    </row>
    <row r="113" spans="1:9" x14ac:dyDescent="0.35">
      <c r="A113" s="161"/>
      <c r="B113" s="160"/>
      <c r="C113" s="66" t="s">
        <v>73</v>
      </c>
      <c r="D113" s="27">
        <v>8373380.1120000053</v>
      </c>
      <c r="E113" s="27">
        <v>4857002.4069999969</v>
      </c>
      <c r="F113" s="27">
        <v>33795380.556000046</v>
      </c>
      <c r="G113" s="27">
        <v>258194.73199999999</v>
      </c>
      <c r="H113" s="27">
        <v>1158456.0459999999</v>
      </c>
    </row>
    <row r="114" spans="1:9" x14ac:dyDescent="0.35">
      <c r="A114" s="161"/>
      <c r="B114" s="159" t="s">
        <v>83</v>
      </c>
      <c r="C114" s="66" t="s">
        <v>71</v>
      </c>
      <c r="D114" s="27">
        <v>8097826.6830000011</v>
      </c>
      <c r="E114" s="27">
        <v>4756616.8080000058</v>
      </c>
      <c r="F114" s="27">
        <v>32226931.375999987</v>
      </c>
      <c r="G114" s="27">
        <v>234719.21599999999</v>
      </c>
      <c r="H114" s="27">
        <v>1078242.0380000002</v>
      </c>
    </row>
    <row r="115" spans="1:9" x14ac:dyDescent="0.35">
      <c r="A115" s="161"/>
      <c r="B115" s="160"/>
      <c r="C115" s="66" t="s">
        <v>73</v>
      </c>
      <c r="D115" s="27">
        <v>6727514.8610000005</v>
      </c>
      <c r="E115" s="27">
        <v>3969694.2889999999</v>
      </c>
      <c r="F115" s="27">
        <v>28666869.573999997</v>
      </c>
      <c r="G115" s="27">
        <v>206806.12</v>
      </c>
      <c r="H115" s="27">
        <v>1014195.5900000001</v>
      </c>
    </row>
    <row r="116" spans="1:9" x14ac:dyDescent="0.35">
      <c r="A116" s="161"/>
      <c r="B116" s="159" t="s">
        <v>84</v>
      </c>
      <c r="C116" s="66" t="s">
        <v>71</v>
      </c>
      <c r="D116" s="27">
        <v>7231264.4180000089</v>
      </c>
      <c r="E116" s="27">
        <v>4095586.3830000013</v>
      </c>
      <c r="F116" s="27">
        <v>29489670.480000023</v>
      </c>
      <c r="G116" s="27">
        <v>137140.633</v>
      </c>
      <c r="H116" s="27">
        <v>1045298.8189999998</v>
      </c>
    </row>
    <row r="117" spans="1:9" x14ac:dyDescent="0.35">
      <c r="A117" s="161"/>
      <c r="B117" s="160"/>
      <c r="C117" s="66" t="s">
        <v>73</v>
      </c>
      <c r="D117" s="27">
        <v>7079387.0840000063</v>
      </c>
      <c r="E117" s="27">
        <v>3887457.2109999983</v>
      </c>
      <c r="F117" s="27">
        <v>32155184.72499999</v>
      </c>
      <c r="G117" s="27">
        <v>167172.46499999997</v>
      </c>
      <c r="H117" s="27">
        <v>1076946.1980000001</v>
      </c>
    </row>
    <row r="118" spans="1:9" x14ac:dyDescent="0.35">
      <c r="A118" s="161"/>
      <c r="B118" s="159" t="s">
        <v>85</v>
      </c>
      <c r="C118" s="66" t="s">
        <v>71</v>
      </c>
      <c r="D118" s="27">
        <v>6894955.1840000059</v>
      </c>
      <c r="E118" s="27">
        <v>3791763.4109999998</v>
      </c>
      <c r="F118" s="27">
        <v>30081894.944999993</v>
      </c>
      <c r="G118" s="27">
        <v>101457.62100000001</v>
      </c>
      <c r="H118" s="27">
        <v>1014423.0920000001</v>
      </c>
    </row>
    <row r="119" spans="1:9" x14ac:dyDescent="0.35">
      <c r="A119" s="161"/>
      <c r="B119" s="160"/>
      <c r="C119" s="66" t="s">
        <v>73</v>
      </c>
      <c r="D119" s="27">
        <v>6406503.9909999976</v>
      </c>
      <c r="E119" s="27">
        <v>3627622.1490000002</v>
      </c>
      <c r="F119" s="27">
        <v>31205302.694999985</v>
      </c>
      <c r="G119" s="27">
        <v>136513.48799999998</v>
      </c>
      <c r="H119" s="27">
        <v>1008918.0400000002</v>
      </c>
    </row>
    <row r="120" spans="1:9" x14ac:dyDescent="0.35">
      <c r="A120" s="161"/>
      <c r="B120" s="159" t="s">
        <v>86</v>
      </c>
      <c r="C120" s="66" t="s">
        <v>71</v>
      </c>
      <c r="D120" s="27">
        <v>7107958.3090000032</v>
      </c>
      <c r="E120" s="27">
        <v>4103939.8750000019</v>
      </c>
      <c r="F120" s="27">
        <v>32584601.765999999</v>
      </c>
      <c r="G120" s="27">
        <v>102731.47499999999</v>
      </c>
      <c r="H120" s="27">
        <v>1061196.9679999999</v>
      </c>
    </row>
    <row r="121" spans="1:9" x14ac:dyDescent="0.35">
      <c r="A121" s="161"/>
      <c r="B121" s="160"/>
      <c r="C121" s="66" t="s">
        <v>73</v>
      </c>
      <c r="D121" s="27">
        <v>6811287.6970000044</v>
      </c>
      <c r="E121" s="27">
        <v>3876805.1290000011</v>
      </c>
      <c r="F121" s="27">
        <v>25722358.248999987</v>
      </c>
      <c r="G121" s="27">
        <v>113155.28099999997</v>
      </c>
      <c r="H121" s="27">
        <v>1054102.111</v>
      </c>
    </row>
    <row r="122" spans="1:9" x14ac:dyDescent="0.35">
      <c r="A122" s="156" t="s">
        <v>158</v>
      </c>
      <c r="B122" s="159" t="s">
        <v>88</v>
      </c>
      <c r="C122" s="66" t="s">
        <v>71</v>
      </c>
      <c r="D122" s="27">
        <v>6434410.2159999991</v>
      </c>
      <c r="E122" s="27">
        <v>3646791.306999994</v>
      </c>
      <c r="F122" s="27">
        <v>28493768.39400002</v>
      </c>
      <c r="G122" s="27">
        <v>71981.378000000012</v>
      </c>
      <c r="H122" s="27">
        <v>949178.64800000028</v>
      </c>
      <c r="I122" s="139"/>
    </row>
    <row r="123" spans="1:9" x14ac:dyDescent="0.35">
      <c r="A123" s="156"/>
      <c r="B123" s="160"/>
      <c r="C123" s="66" t="s">
        <v>73</v>
      </c>
      <c r="D123" s="27">
        <v>6236282.7690000003</v>
      </c>
      <c r="E123" s="27">
        <v>3441627.7949999985</v>
      </c>
      <c r="F123" s="27">
        <v>30670023.414999995</v>
      </c>
      <c r="G123" s="27">
        <v>94584.676000000036</v>
      </c>
      <c r="H123" s="27">
        <v>990108.65499999945</v>
      </c>
      <c r="I123" s="139"/>
    </row>
    <row r="124" spans="1:9" x14ac:dyDescent="0.35">
      <c r="A124" s="156"/>
      <c r="B124" s="159" t="s">
        <v>70</v>
      </c>
      <c r="C124" s="66" t="s">
        <v>71</v>
      </c>
      <c r="D124" s="27">
        <v>6604496.270000007</v>
      </c>
      <c r="E124" s="27">
        <v>3611410.6449999968</v>
      </c>
      <c r="F124" s="27">
        <v>30070182.691000007</v>
      </c>
      <c r="G124" s="27">
        <v>71819.113000000012</v>
      </c>
      <c r="H124" s="27">
        <v>978346.42399999988</v>
      </c>
      <c r="I124" s="139"/>
    </row>
    <row r="125" spans="1:9" x14ac:dyDescent="0.35">
      <c r="A125" s="156"/>
      <c r="B125" s="160"/>
      <c r="C125" s="66" t="s">
        <v>73</v>
      </c>
      <c r="D125" s="27">
        <v>5329511.0229999982</v>
      </c>
      <c r="E125" s="27">
        <v>2861323.0250000008</v>
      </c>
      <c r="F125" s="27">
        <v>25161381.180999987</v>
      </c>
      <c r="G125" s="27">
        <v>63875.709000000003</v>
      </c>
      <c r="H125" s="27">
        <v>882685.07499999995</v>
      </c>
      <c r="I125" s="139"/>
    </row>
    <row r="126" spans="1:9" x14ac:dyDescent="0.35">
      <c r="A126" s="156"/>
      <c r="B126" s="159" t="s">
        <v>74</v>
      </c>
      <c r="C126" s="66" t="s">
        <v>71</v>
      </c>
      <c r="D126" s="27">
        <v>6843908.2239999985</v>
      </c>
      <c r="E126" s="27">
        <v>3717350.4989999984</v>
      </c>
      <c r="F126" s="27">
        <v>30019893.241</v>
      </c>
      <c r="G126" s="27">
        <v>69543.03800000003</v>
      </c>
      <c r="H126" s="27">
        <v>1013264.6150000001</v>
      </c>
      <c r="I126" s="139"/>
    </row>
    <row r="127" spans="1:9" x14ac:dyDescent="0.35">
      <c r="A127" s="156"/>
      <c r="B127" s="160"/>
      <c r="C127" s="66" t="s">
        <v>73</v>
      </c>
      <c r="D127" s="27">
        <v>6606154.4199999999</v>
      </c>
      <c r="E127" s="27">
        <v>3646516.8230000013</v>
      </c>
      <c r="F127" s="27">
        <v>27843293.125999995</v>
      </c>
      <c r="G127" s="27">
        <v>82947.746000000014</v>
      </c>
      <c r="H127" s="27">
        <v>1037598.7869999998</v>
      </c>
      <c r="I127" s="139"/>
    </row>
    <row r="128" spans="1:9" x14ac:dyDescent="0.35">
      <c r="A128" s="156"/>
      <c r="B128" s="159" t="s">
        <v>75</v>
      </c>
      <c r="C128" s="66" t="s">
        <v>71</v>
      </c>
      <c r="D128" s="27">
        <v>6997700.594999996</v>
      </c>
      <c r="E128" s="27">
        <v>3845918.7890000008</v>
      </c>
      <c r="F128" s="27">
        <v>30874658.504999977</v>
      </c>
      <c r="G128" s="27">
        <v>132788.35200000001</v>
      </c>
      <c r="H128" s="27">
        <v>1040779.3319999996</v>
      </c>
      <c r="I128" s="139"/>
    </row>
    <row r="129" spans="1:9" x14ac:dyDescent="0.35">
      <c r="A129" s="156"/>
      <c r="B129" s="160"/>
      <c r="C129" s="66" t="s">
        <v>73</v>
      </c>
      <c r="D129" s="27">
        <v>6687726.2280000011</v>
      </c>
      <c r="E129" s="27">
        <v>3706706.0559999985</v>
      </c>
      <c r="F129" s="27">
        <v>31295873.227999993</v>
      </c>
      <c r="G129" s="27">
        <v>147295.54700000002</v>
      </c>
      <c r="H129" s="27">
        <v>1043187.985</v>
      </c>
      <c r="I129" s="139"/>
    </row>
    <row r="130" spans="1:9" x14ac:dyDescent="0.35">
      <c r="A130" s="156"/>
      <c r="B130" s="159" t="s">
        <v>79</v>
      </c>
      <c r="C130" s="66" t="s">
        <v>71</v>
      </c>
      <c r="D130" s="27">
        <v>7616647.5050000027</v>
      </c>
      <c r="E130" s="27">
        <v>4632633.1410000008</v>
      </c>
      <c r="F130" s="27">
        <v>30655518.322999991</v>
      </c>
      <c r="G130" s="27">
        <v>232557.37699999995</v>
      </c>
      <c r="H130" s="27">
        <v>1074105.3740000001</v>
      </c>
      <c r="I130" s="139"/>
    </row>
    <row r="131" spans="1:9" x14ac:dyDescent="0.35">
      <c r="A131" s="156"/>
      <c r="B131" s="160"/>
      <c r="C131" s="66" t="s">
        <v>73</v>
      </c>
      <c r="D131" s="27">
        <v>8496481.1290000007</v>
      </c>
      <c r="E131" s="27">
        <v>4948856.0759999985</v>
      </c>
      <c r="F131" s="27">
        <v>33905088.065999992</v>
      </c>
      <c r="G131" s="27">
        <v>165436.10199999998</v>
      </c>
      <c r="H131" s="27">
        <v>1189956.4189999998</v>
      </c>
      <c r="I131" s="139"/>
    </row>
    <row r="132" spans="1:9" x14ac:dyDescent="0.35">
      <c r="A132" s="156"/>
      <c r="B132" s="159" t="s">
        <v>80</v>
      </c>
      <c r="C132" s="66" t="s">
        <v>71</v>
      </c>
      <c r="D132" s="27">
        <v>8326586.4089999953</v>
      </c>
      <c r="E132" s="27">
        <v>4896950.3120000018</v>
      </c>
      <c r="F132" s="27">
        <v>31790985.175999984</v>
      </c>
      <c r="G132" s="27">
        <v>110508.67999999996</v>
      </c>
      <c r="H132" s="27">
        <v>1140433.1309999998</v>
      </c>
      <c r="I132" s="139"/>
    </row>
    <row r="133" spans="1:9" x14ac:dyDescent="0.35">
      <c r="A133" s="156"/>
      <c r="B133" s="160"/>
      <c r="C133" s="66" t="s">
        <v>73</v>
      </c>
      <c r="D133" s="27">
        <v>8167547.1029999983</v>
      </c>
      <c r="E133" s="27">
        <v>4955264.1240000008</v>
      </c>
      <c r="F133" s="27">
        <v>28990634.871000003</v>
      </c>
      <c r="G133" s="27">
        <v>148689.96199999997</v>
      </c>
      <c r="H133" s="27">
        <v>1142327.071</v>
      </c>
      <c r="I133" s="139"/>
    </row>
    <row r="134" spans="1:9" x14ac:dyDescent="0.35">
      <c r="A134" s="156"/>
      <c r="B134" s="159" t="s">
        <v>81</v>
      </c>
      <c r="C134" s="66" t="s">
        <v>71</v>
      </c>
      <c r="D134" s="27">
        <v>8095445.4420000017</v>
      </c>
      <c r="E134" s="27">
        <v>4897668.508999994</v>
      </c>
      <c r="F134" s="27">
        <v>31589806.569000009</v>
      </c>
      <c r="G134" s="27">
        <v>143416.43</v>
      </c>
      <c r="H134" s="27">
        <v>1193644.531</v>
      </c>
      <c r="I134" s="139"/>
    </row>
    <row r="135" spans="1:9" x14ac:dyDescent="0.35">
      <c r="A135" s="156"/>
      <c r="B135" s="160"/>
      <c r="C135" s="66" t="s">
        <v>73</v>
      </c>
      <c r="D135" s="27">
        <v>8597303.4880000018</v>
      </c>
      <c r="E135" s="27">
        <v>5149544.9170000004</v>
      </c>
      <c r="F135" s="27">
        <v>33330689.022</v>
      </c>
      <c r="G135" s="27">
        <v>207572.17099999994</v>
      </c>
      <c r="H135" s="27">
        <v>1242353.6020000004</v>
      </c>
      <c r="I135" s="139"/>
    </row>
    <row r="136" spans="1:9" x14ac:dyDescent="0.35">
      <c r="A136" s="156"/>
      <c r="B136" s="159" t="s">
        <v>82</v>
      </c>
      <c r="C136" s="66" t="s">
        <v>71</v>
      </c>
      <c r="D136" s="27">
        <v>8503661.418000007</v>
      </c>
      <c r="E136" s="27">
        <v>5050284.3099999996</v>
      </c>
      <c r="F136" s="27">
        <v>33141958.752000008</v>
      </c>
      <c r="G136" s="27">
        <v>229867.46799999994</v>
      </c>
      <c r="H136" s="27">
        <v>1175819.7960000003</v>
      </c>
      <c r="I136" s="139"/>
    </row>
    <row r="137" spans="1:9" x14ac:dyDescent="0.35">
      <c r="A137" s="156"/>
      <c r="B137" s="160"/>
      <c r="C137" s="66" t="s">
        <v>73</v>
      </c>
      <c r="D137" s="27">
        <v>8370270.5070000058</v>
      </c>
      <c r="E137" s="27">
        <v>5130179.1460000062</v>
      </c>
      <c r="F137" s="27">
        <v>33185413.68500001</v>
      </c>
      <c r="G137" s="27">
        <v>310033.98599999992</v>
      </c>
      <c r="H137" s="27">
        <v>1246290.7000000002</v>
      </c>
      <c r="I137" s="139"/>
    </row>
    <row r="138" spans="1:9" x14ac:dyDescent="0.35">
      <c r="A138" s="156"/>
      <c r="B138" s="159" t="s">
        <v>83</v>
      </c>
      <c r="C138" s="66" t="s">
        <v>71</v>
      </c>
      <c r="D138" s="27">
        <v>7667015.2900000019</v>
      </c>
      <c r="E138" s="27">
        <v>4691964.0500000035</v>
      </c>
      <c r="F138" s="27">
        <v>31296885.075000014</v>
      </c>
      <c r="G138" s="27">
        <v>205223.04500000004</v>
      </c>
      <c r="H138" s="27">
        <v>1128628.3060000006</v>
      </c>
      <c r="I138" s="139"/>
    </row>
    <row r="139" spans="1:9" x14ac:dyDescent="0.35">
      <c r="A139" s="156"/>
      <c r="B139" s="160"/>
      <c r="C139" s="66" t="s">
        <v>73</v>
      </c>
      <c r="D139" s="27">
        <v>6810422.2859999994</v>
      </c>
      <c r="E139" s="27">
        <v>4139867.348999999</v>
      </c>
      <c r="F139" s="27">
        <v>31208715.245999984</v>
      </c>
      <c r="G139" s="27">
        <v>177387.30299999999</v>
      </c>
      <c r="H139" s="27">
        <v>1082561.4339999997</v>
      </c>
      <c r="I139" s="139"/>
    </row>
    <row r="140" spans="1:9" x14ac:dyDescent="0.35">
      <c r="A140" s="156"/>
      <c r="B140" s="159" t="s">
        <v>84</v>
      </c>
      <c r="C140" s="66" t="s">
        <v>71</v>
      </c>
      <c r="D140" s="27">
        <v>7154101.6370000103</v>
      </c>
      <c r="E140" s="27">
        <v>4146246.6260000016</v>
      </c>
      <c r="F140" s="27">
        <v>31547904.085000016</v>
      </c>
      <c r="G140" s="27">
        <v>104740.27300000002</v>
      </c>
      <c r="H140" s="27">
        <v>1097461.7399999998</v>
      </c>
      <c r="I140" s="139"/>
    </row>
    <row r="141" spans="1:9" x14ac:dyDescent="0.35">
      <c r="A141" s="156"/>
      <c r="B141" s="160"/>
      <c r="C141" s="66" t="s">
        <v>73</v>
      </c>
      <c r="D141" s="27">
        <v>6994667.1509999949</v>
      </c>
      <c r="E141" s="27">
        <v>3962413.1269999989</v>
      </c>
      <c r="F141" s="27">
        <v>32230983.454999987</v>
      </c>
      <c r="G141" s="27">
        <v>115027.80500000002</v>
      </c>
      <c r="H141" s="27">
        <v>1113561.1749999998</v>
      </c>
      <c r="I141" s="139"/>
    </row>
    <row r="142" spans="1:9" x14ac:dyDescent="0.35">
      <c r="A142" s="156"/>
      <c r="B142" s="159" t="s">
        <v>85</v>
      </c>
      <c r="C142" s="66" t="s">
        <v>71</v>
      </c>
      <c r="D142" s="27">
        <v>7063726.860000005</v>
      </c>
      <c r="E142" s="27">
        <v>3957013.7309999978</v>
      </c>
      <c r="F142" s="27">
        <v>31099089.994000006</v>
      </c>
      <c r="G142" s="27">
        <v>63124.585999999996</v>
      </c>
      <c r="H142" s="27">
        <v>1090273.6100000001</v>
      </c>
      <c r="I142" s="139"/>
    </row>
    <row r="143" spans="1:9" x14ac:dyDescent="0.35">
      <c r="A143" s="156"/>
      <c r="B143" s="160"/>
      <c r="C143" s="66" t="s">
        <v>73</v>
      </c>
      <c r="D143" s="27">
        <v>6343328.5370000033</v>
      </c>
      <c r="E143" s="27">
        <v>3509159.7669999972</v>
      </c>
      <c r="F143" s="27">
        <v>29428507.335000016</v>
      </c>
      <c r="G143" s="27">
        <v>77311.7</v>
      </c>
      <c r="H143" s="27">
        <v>1040305.0509999997</v>
      </c>
      <c r="I143" s="139"/>
    </row>
    <row r="144" spans="1:9" x14ac:dyDescent="0.35">
      <c r="A144" s="156"/>
      <c r="B144" s="159" t="s">
        <v>86</v>
      </c>
      <c r="C144" s="66" t="s">
        <v>71</v>
      </c>
      <c r="D144" s="27">
        <v>7242068.5039999997</v>
      </c>
      <c r="E144" s="27">
        <v>3950485.7379999976</v>
      </c>
      <c r="F144" s="27">
        <v>31439994.29100002</v>
      </c>
      <c r="G144" s="27">
        <v>82619.850000000006</v>
      </c>
      <c r="H144" s="27">
        <v>1082457.6599999999</v>
      </c>
      <c r="I144" s="139"/>
    </row>
    <row r="145" spans="1:9" x14ac:dyDescent="0.35">
      <c r="A145" s="156"/>
      <c r="B145" s="160"/>
      <c r="C145" s="66" t="s">
        <v>73</v>
      </c>
      <c r="D145" s="27">
        <v>6665844.410000002</v>
      </c>
      <c r="E145" s="27">
        <v>3712473.6050000004</v>
      </c>
      <c r="F145" s="27">
        <v>25531854.023000009</v>
      </c>
      <c r="G145" s="27">
        <v>79512.979999999967</v>
      </c>
      <c r="H145" s="27">
        <v>1104861.5349999999</v>
      </c>
      <c r="I145" s="139"/>
    </row>
    <row r="146" spans="1:9" x14ac:dyDescent="0.35">
      <c r="A146" s="156" t="s">
        <v>160</v>
      </c>
      <c r="B146" s="159" t="s">
        <v>88</v>
      </c>
      <c r="C146" s="66" t="s">
        <v>71</v>
      </c>
      <c r="D146" s="27">
        <v>6120715.9680000003</v>
      </c>
      <c r="E146" s="27">
        <v>3399229.3229999989</v>
      </c>
      <c r="F146" s="27">
        <v>28635318.387999997</v>
      </c>
      <c r="G146" s="27">
        <v>67474.100000000006</v>
      </c>
      <c r="H146" s="27">
        <v>958764.24000000011</v>
      </c>
    </row>
    <row r="147" spans="1:9" x14ac:dyDescent="0.35">
      <c r="A147" s="156"/>
      <c r="B147" s="160"/>
      <c r="C147" s="66" t="s">
        <v>73</v>
      </c>
      <c r="D147" s="27">
        <v>6474516.2779999999</v>
      </c>
      <c r="E147" s="27">
        <v>3458589.3760000011</v>
      </c>
      <c r="F147" s="27">
        <v>30218769.283999994</v>
      </c>
      <c r="G147" s="27">
        <v>66954.790000000008</v>
      </c>
      <c r="H147" s="27">
        <v>1015962.926</v>
      </c>
    </row>
    <row r="148" spans="1:9" x14ac:dyDescent="0.35">
      <c r="A148" s="156"/>
      <c r="B148" s="159" t="s">
        <v>70</v>
      </c>
      <c r="C148" s="66" t="s">
        <v>71</v>
      </c>
      <c r="D148" s="27">
        <v>6836108.8980000019</v>
      </c>
      <c r="E148" s="27">
        <v>3784465.9990000003</v>
      </c>
      <c r="F148" s="27">
        <v>30562125.501999993</v>
      </c>
      <c r="G148" s="27">
        <v>62146.640000000014</v>
      </c>
      <c r="H148" s="27">
        <v>1003342.683</v>
      </c>
    </row>
    <row r="149" spans="1:9" x14ac:dyDescent="0.35">
      <c r="A149" s="156"/>
      <c r="B149" s="160"/>
      <c r="C149" s="66" t="s">
        <v>73</v>
      </c>
      <c r="D149" s="27">
        <v>5393539.032999998</v>
      </c>
      <c r="E149" s="27">
        <v>2880833.051</v>
      </c>
      <c r="F149" s="27">
        <v>25940700.444999985</v>
      </c>
      <c r="G149" s="27">
        <v>51341.739999999991</v>
      </c>
      <c r="H149" s="27">
        <v>832592.38400000019</v>
      </c>
    </row>
    <row r="150" spans="1:9" x14ac:dyDescent="0.35">
      <c r="A150" s="156"/>
      <c r="B150" s="159" t="s">
        <v>74</v>
      </c>
      <c r="C150" s="66" t="s">
        <v>71</v>
      </c>
      <c r="D150" s="27">
        <v>6750874.3380000051</v>
      </c>
      <c r="E150" s="27">
        <v>3609399.5329999998</v>
      </c>
      <c r="F150" s="27">
        <v>29989019.432999995</v>
      </c>
      <c r="G150" s="27">
        <v>57074.810000000005</v>
      </c>
      <c r="H150" s="27">
        <v>969778.09999999986</v>
      </c>
    </row>
    <row r="151" spans="1:9" x14ac:dyDescent="0.35">
      <c r="A151" s="156"/>
      <c r="B151" s="160"/>
      <c r="C151" s="66" t="s">
        <v>73</v>
      </c>
      <c r="D151" s="27">
        <v>6683452.6310000028</v>
      </c>
      <c r="E151" s="27">
        <v>3680521.7919999999</v>
      </c>
      <c r="F151" s="27">
        <v>31445965.059000015</v>
      </c>
      <c r="G151" s="27">
        <v>79053.709999999992</v>
      </c>
      <c r="H151" s="27">
        <v>1026430.0799999998</v>
      </c>
    </row>
    <row r="152" spans="1:9" x14ac:dyDescent="0.35">
      <c r="A152" s="156"/>
      <c r="B152" s="159" t="s">
        <v>75</v>
      </c>
      <c r="C152" s="66" t="s">
        <v>71</v>
      </c>
      <c r="D152" s="27">
        <v>7045176.0319999997</v>
      </c>
      <c r="E152" s="27">
        <v>3795803.1790000005</v>
      </c>
      <c r="F152" s="27">
        <v>32399987.347999983</v>
      </c>
      <c r="G152" s="27">
        <v>138192.18999999994</v>
      </c>
      <c r="H152" s="27">
        <v>1013396.155</v>
      </c>
    </row>
    <row r="153" spans="1:9" x14ac:dyDescent="0.35">
      <c r="A153" s="156"/>
      <c r="B153" s="160"/>
      <c r="C153" s="66" t="s">
        <v>73</v>
      </c>
      <c r="D153" s="27">
        <v>7228843.9099999983</v>
      </c>
      <c r="E153" s="27">
        <v>4144718.4729999951</v>
      </c>
      <c r="F153" s="27">
        <v>32302236.469999991</v>
      </c>
      <c r="G153" s="27">
        <v>147650.57300000003</v>
      </c>
      <c r="H153" s="27">
        <v>1017922.8</v>
      </c>
    </row>
    <row r="154" spans="1:9" x14ac:dyDescent="0.35">
      <c r="A154" s="156"/>
      <c r="B154" s="159" t="s">
        <v>79</v>
      </c>
      <c r="C154" s="66" t="s">
        <v>71</v>
      </c>
      <c r="D154" s="27">
        <v>7659348.1319999974</v>
      </c>
      <c r="E154" s="27">
        <v>4570662.8019999955</v>
      </c>
      <c r="F154" s="27">
        <v>31162208.087000005</v>
      </c>
      <c r="G154" s="27">
        <v>136537.09699999995</v>
      </c>
      <c r="H154" s="27">
        <v>1023181.8090000001</v>
      </c>
    </row>
    <row r="155" spans="1:9" x14ac:dyDescent="0.35">
      <c r="A155" s="156"/>
      <c r="B155" s="160"/>
      <c r="C155" s="66" t="s">
        <v>73</v>
      </c>
      <c r="D155" s="27">
        <v>8016027.640999998</v>
      </c>
      <c r="E155" s="27">
        <v>4938242.3589999937</v>
      </c>
      <c r="F155" s="27">
        <v>33478276.873999976</v>
      </c>
      <c r="G155" s="27">
        <v>121831.32</v>
      </c>
      <c r="H155" s="27">
        <v>1103809.297</v>
      </c>
    </row>
    <row r="156" spans="1:9" x14ac:dyDescent="0.35">
      <c r="A156" s="156"/>
      <c r="B156" s="159" t="s">
        <v>80</v>
      </c>
      <c r="C156" s="66" t="s">
        <v>71</v>
      </c>
      <c r="D156" s="27">
        <v>8151359.1089999974</v>
      </c>
      <c r="E156" s="27">
        <v>4973545.489000001</v>
      </c>
      <c r="F156" s="27">
        <v>31736981.211999979</v>
      </c>
      <c r="G156" s="27">
        <v>99825.989999999976</v>
      </c>
      <c r="H156" s="27">
        <v>1080878.294</v>
      </c>
    </row>
    <row r="157" spans="1:9" x14ac:dyDescent="0.35">
      <c r="A157" s="156"/>
      <c r="B157" s="160"/>
      <c r="C157" s="66" t="s">
        <v>73</v>
      </c>
      <c r="D157" s="27">
        <v>8289082.9120000051</v>
      </c>
      <c r="E157" s="27">
        <v>5003223.0939999968</v>
      </c>
      <c r="F157" s="27">
        <v>29828707.280000009</v>
      </c>
      <c r="G157" s="27">
        <v>146589.13</v>
      </c>
      <c r="H157" s="27">
        <v>1051948.6379999998</v>
      </c>
    </row>
    <row r="158" spans="1:9" x14ac:dyDescent="0.35">
      <c r="A158" s="156"/>
      <c r="B158" s="159" t="s">
        <v>81</v>
      </c>
      <c r="C158" s="66" t="s">
        <v>71</v>
      </c>
      <c r="D158" s="27">
        <v>7892270.0029999958</v>
      </c>
      <c r="E158" s="27">
        <v>4656685.0340000009</v>
      </c>
      <c r="F158" s="27">
        <v>31575109.355000004</v>
      </c>
      <c r="G158" s="27">
        <v>99905.429999999978</v>
      </c>
      <c r="H158" s="27">
        <v>1090914.1329999999</v>
      </c>
    </row>
    <row r="159" spans="1:9" x14ac:dyDescent="0.35">
      <c r="A159" s="156"/>
      <c r="B159" s="160"/>
      <c r="C159" s="66" t="s">
        <v>73</v>
      </c>
      <c r="D159" s="27">
        <v>9190943.4849999957</v>
      </c>
      <c r="E159" s="27">
        <v>5618678.5309999986</v>
      </c>
      <c r="F159" s="27">
        <v>34409038.371999994</v>
      </c>
      <c r="G159" s="27">
        <v>154694.60999999999</v>
      </c>
      <c r="H159" s="27">
        <v>1218471.7449999999</v>
      </c>
    </row>
    <row r="160" spans="1:9" x14ac:dyDescent="0.35">
      <c r="A160" s="156"/>
      <c r="B160" s="159" t="s">
        <v>82</v>
      </c>
      <c r="C160" s="66" t="s">
        <v>71</v>
      </c>
      <c r="D160" s="27">
        <v>8730091.2530000005</v>
      </c>
      <c r="E160" s="27">
        <v>5264365.6480000056</v>
      </c>
      <c r="F160" s="27">
        <v>34382682.41299998</v>
      </c>
      <c r="G160" s="27">
        <v>240794.44999999995</v>
      </c>
      <c r="H160" s="27">
        <v>1146528.6199999996</v>
      </c>
    </row>
    <row r="161" spans="1:8" x14ac:dyDescent="0.35">
      <c r="A161" s="156"/>
      <c r="B161" s="160"/>
      <c r="C161" s="66" t="s">
        <v>73</v>
      </c>
      <c r="D161" s="27">
        <v>7961667.8580000028</v>
      </c>
      <c r="E161" s="27">
        <v>4670208.9719999963</v>
      </c>
      <c r="F161" s="27">
        <v>32901345.478999987</v>
      </c>
      <c r="G161" s="27">
        <v>278129.38</v>
      </c>
      <c r="H161" s="27">
        <v>1121319.2999999996</v>
      </c>
    </row>
    <row r="162" spans="1:8" x14ac:dyDescent="0.35">
      <c r="A162" s="156"/>
      <c r="B162" s="159" t="s">
        <v>83</v>
      </c>
      <c r="C162" s="66" t="s">
        <v>71</v>
      </c>
      <c r="D162" s="27">
        <v>8389141.1040000059</v>
      </c>
      <c r="E162" s="27">
        <v>4944222.3190000039</v>
      </c>
      <c r="F162" s="27">
        <v>35356700.486000024</v>
      </c>
      <c r="G162" s="27">
        <v>255914.97</v>
      </c>
      <c r="H162" s="27">
        <v>1022400.2799999999</v>
      </c>
    </row>
    <row r="163" spans="1:8" x14ac:dyDescent="0.35">
      <c r="A163" s="156"/>
      <c r="B163" s="160"/>
      <c r="C163" s="66" t="s">
        <v>73</v>
      </c>
      <c r="D163" s="27">
        <v>7228262.2520000013</v>
      </c>
      <c r="E163" s="27">
        <v>3916955.1899999981</v>
      </c>
      <c r="F163" s="27">
        <v>32760198.756000012</v>
      </c>
      <c r="G163" s="27">
        <v>186816.41999999998</v>
      </c>
      <c r="H163" s="27">
        <v>977638.27200000011</v>
      </c>
    </row>
    <row r="164" spans="1:8" x14ac:dyDescent="0.35">
      <c r="A164" s="156"/>
      <c r="B164" s="159" t="s">
        <v>84</v>
      </c>
      <c r="C164" s="66" t="s">
        <v>71</v>
      </c>
      <c r="D164" s="27">
        <v>7369629.1529999953</v>
      </c>
      <c r="E164" s="27">
        <v>3884059.3240000019</v>
      </c>
      <c r="F164" s="27">
        <v>33263600.624999993</v>
      </c>
      <c r="G164" s="27">
        <v>107401.81999999999</v>
      </c>
      <c r="H164" s="27">
        <v>989948.82999999984</v>
      </c>
    </row>
    <row r="165" spans="1:8" x14ac:dyDescent="0.35">
      <c r="A165" s="156"/>
      <c r="B165" s="160"/>
      <c r="C165" s="66" t="s">
        <v>73</v>
      </c>
      <c r="D165" s="27">
        <v>7436000.6529999999</v>
      </c>
      <c r="E165" s="27">
        <v>3771306.4470000034</v>
      </c>
      <c r="F165" s="27">
        <v>34355055.849999987</v>
      </c>
      <c r="G165" s="27">
        <v>114849.25699999998</v>
      </c>
      <c r="H165" s="27">
        <v>1023094.3510000003</v>
      </c>
    </row>
    <row r="166" spans="1:8" x14ac:dyDescent="0.35">
      <c r="A166" s="156"/>
      <c r="B166" s="159" t="s">
        <v>85</v>
      </c>
      <c r="C166" s="66" t="s">
        <v>71</v>
      </c>
      <c r="D166" s="27">
        <v>7208917.7710000034</v>
      </c>
      <c r="E166" s="27">
        <v>3647290.9229999976</v>
      </c>
      <c r="F166" s="27">
        <v>31224721.179000027</v>
      </c>
      <c r="G166" s="27">
        <v>80151.529999999984</v>
      </c>
      <c r="H166" s="27">
        <v>978364.52700000047</v>
      </c>
    </row>
    <row r="167" spans="1:8" x14ac:dyDescent="0.35">
      <c r="A167" s="156"/>
      <c r="B167" s="160"/>
      <c r="C167" s="66" t="s">
        <v>73</v>
      </c>
      <c r="D167" s="27">
        <v>6848909.6820000047</v>
      </c>
      <c r="E167" s="27">
        <v>3323201.7019999977</v>
      </c>
      <c r="F167" s="27">
        <v>31298613.063000012</v>
      </c>
      <c r="G167" s="27">
        <v>105718.59</v>
      </c>
      <c r="H167" s="27">
        <v>935027.34499999997</v>
      </c>
    </row>
    <row r="168" spans="1:8" x14ac:dyDescent="0.35">
      <c r="A168" s="156"/>
      <c r="B168" s="159" t="s">
        <v>86</v>
      </c>
      <c r="C168" s="66" t="s">
        <v>71</v>
      </c>
      <c r="D168" s="27">
        <v>7304825.8509999961</v>
      </c>
      <c r="E168" s="27">
        <v>3495747.4850000022</v>
      </c>
      <c r="F168" s="27">
        <v>33130093.417000003</v>
      </c>
      <c r="G168" s="27">
        <v>56698.469999999987</v>
      </c>
      <c r="H168" s="27">
        <v>951545.71299999964</v>
      </c>
    </row>
    <row r="169" spans="1:8" x14ac:dyDescent="0.35">
      <c r="A169" s="156"/>
      <c r="B169" s="160"/>
      <c r="C169" s="66" t="s">
        <v>73</v>
      </c>
      <c r="D169" s="27">
        <v>7257211.808000003</v>
      </c>
      <c r="E169" s="27">
        <v>3962979.0680000023</v>
      </c>
      <c r="F169" s="27">
        <v>26967772.782000013</v>
      </c>
      <c r="G169" s="27">
        <v>65449.899999999994</v>
      </c>
      <c r="H169" s="27">
        <v>998692.74599999981</v>
      </c>
    </row>
    <row r="170" spans="1:8" x14ac:dyDescent="0.35">
      <c r="A170" s="156" t="s">
        <v>162</v>
      </c>
      <c r="B170" s="157" t="s">
        <v>88</v>
      </c>
      <c r="C170" s="147" t="s">
        <v>71</v>
      </c>
      <c r="D170" s="146">
        <v>6710685.6250000065</v>
      </c>
      <c r="E170" s="146">
        <v>3766512.8510000026</v>
      </c>
      <c r="F170" s="146">
        <v>31566633.375999991</v>
      </c>
      <c r="G170" s="146">
        <v>76420.305999999997</v>
      </c>
      <c r="H170" s="146">
        <v>889884.23299999966</v>
      </c>
    </row>
    <row r="171" spans="1:8" x14ac:dyDescent="0.35">
      <c r="A171" s="156"/>
      <c r="B171" s="158"/>
      <c r="C171" s="147" t="s">
        <v>73</v>
      </c>
      <c r="D171" s="146">
        <v>7363128.7189999949</v>
      </c>
      <c r="E171" s="146">
        <v>4175958.8459999985</v>
      </c>
      <c r="F171" s="146">
        <v>35076904.615999989</v>
      </c>
      <c r="G171" s="146">
        <v>81407.387999999992</v>
      </c>
      <c r="H171" s="146">
        <v>972302.02399999998</v>
      </c>
    </row>
    <row r="172" spans="1:8" x14ac:dyDescent="0.35">
      <c r="A172" s="156"/>
      <c r="B172" s="157" t="s">
        <v>70</v>
      </c>
      <c r="C172" s="147" t="s">
        <v>71</v>
      </c>
      <c r="D172" s="146">
        <v>7253370.7349999947</v>
      </c>
      <c r="E172" s="146">
        <v>4119038.419000004</v>
      </c>
      <c r="F172" s="146">
        <v>33052979.396000009</v>
      </c>
      <c r="G172" s="146">
        <v>64087.719999999987</v>
      </c>
      <c r="H172" s="146">
        <v>917180.27799999993</v>
      </c>
    </row>
    <row r="173" spans="1:8" x14ac:dyDescent="0.35">
      <c r="A173" s="156"/>
      <c r="B173" s="158"/>
      <c r="C173" s="147" t="s">
        <v>73</v>
      </c>
      <c r="D173" s="146">
        <v>5639287.8400000008</v>
      </c>
      <c r="E173" s="146">
        <v>3225079.2289999984</v>
      </c>
      <c r="F173" s="146">
        <v>27682412.901000008</v>
      </c>
      <c r="G173" s="146">
        <v>57381.225000000006</v>
      </c>
      <c r="H173" s="146">
        <v>763965.67099999997</v>
      </c>
    </row>
    <row r="174" spans="1:8" x14ac:dyDescent="0.35">
      <c r="A174" s="156"/>
      <c r="B174" s="157" t="s">
        <v>74</v>
      </c>
      <c r="C174" s="147" t="s">
        <v>71</v>
      </c>
      <c r="D174" s="146">
        <v>7184259.1670000078</v>
      </c>
      <c r="E174" s="146">
        <v>4057374.8899999997</v>
      </c>
      <c r="F174" s="146">
        <v>31858032.511000015</v>
      </c>
      <c r="G174" s="146">
        <v>142420.73099999997</v>
      </c>
      <c r="H174" s="146">
        <v>928091.87899999996</v>
      </c>
    </row>
    <row r="175" spans="1:8" x14ac:dyDescent="0.35">
      <c r="A175" s="156"/>
      <c r="B175" s="158"/>
      <c r="C175" s="147" t="s">
        <v>73</v>
      </c>
      <c r="D175" s="146">
        <v>6880018.7380000046</v>
      </c>
      <c r="E175" s="146">
        <v>3888582.720999998</v>
      </c>
      <c r="F175" s="146">
        <v>32166875.644999996</v>
      </c>
      <c r="G175" s="146">
        <v>131368.76</v>
      </c>
      <c r="H175" s="146">
        <v>1000574.1860000003</v>
      </c>
    </row>
    <row r="176" spans="1:8" x14ac:dyDescent="0.35">
      <c r="A176" s="156"/>
    </row>
    <row r="177" spans="1:1" x14ac:dyDescent="0.35">
      <c r="A177" s="156"/>
    </row>
    <row r="178" spans="1:1" x14ac:dyDescent="0.35">
      <c r="A178" s="156"/>
    </row>
    <row r="179" spans="1:1" x14ac:dyDescent="0.35">
      <c r="A179" s="156"/>
    </row>
    <row r="180" spans="1:1" x14ac:dyDescent="0.35">
      <c r="A180" s="156"/>
    </row>
    <row r="181" spans="1:1" x14ac:dyDescent="0.35">
      <c r="A181" s="156"/>
    </row>
    <row r="182" spans="1:1" x14ac:dyDescent="0.35">
      <c r="A182" s="156"/>
    </row>
    <row r="183" spans="1:1" x14ac:dyDescent="0.35">
      <c r="A183" s="156"/>
    </row>
    <row r="184" spans="1:1" x14ac:dyDescent="0.35">
      <c r="A184" s="156"/>
    </row>
    <row r="185" spans="1:1" x14ac:dyDescent="0.35">
      <c r="A185" s="156"/>
    </row>
    <row r="186" spans="1:1" x14ac:dyDescent="0.35">
      <c r="A186" s="156"/>
    </row>
    <row r="187" spans="1:1" x14ac:dyDescent="0.35">
      <c r="A187" s="156"/>
    </row>
    <row r="188" spans="1:1" x14ac:dyDescent="0.35">
      <c r="A188" s="156"/>
    </row>
    <row r="189" spans="1:1" x14ac:dyDescent="0.35">
      <c r="A189" s="156"/>
    </row>
    <row r="190" spans="1:1" x14ac:dyDescent="0.35">
      <c r="A190" s="156"/>
    </row>
    <row r="191" spans="1:1" x14ac:dyDescent="0.35">
      <c r="A191" s="156"/>
    </row>
    <row r="192" spans="1:1" x14ac:dyDescent="0.35">
      <c r="A192" s="156"/>
    </row>
    <row r="193" spans="1:1" x14ac:dyDescent="0.35">
      <c r="A193" s="156"/>
    </row>
  </sheetData>
  <mergeCells count="87">
    <mergeCell ref="A146:A169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L69:M69"/>
    <mergeCell ref="A74:A97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L1:M1"/>
    <mergeCell ref="A26:A49"/>
    <mergeCell ref="B26:B27"/>
    <mergeCell ref="B4:B5"/>
    <mergeCell ref="B28:B29"/>
    <mergeCell ref="B30:B31"/>
    <mergeCell ref="B32:B33"/>
    <mergeCell ref="B34:B35"/>
    <mergeCell ref="B36:B37"/>
    <mergeCell ref="B48:B49"/>
    <mergeCell ref="B38:B39"/>
    <mergeCell ref="B40:B41"/>
    <mergeCell ref="B42:B43"/>
    <mergeCell ref="B44:B45"/>
    <mergeCell ref="B46:B47"/>
    <mergeCell ref="L39:M39"/>
    <mergeCell ref="A2:A25"/>
    <mergeCell ref="A50:A73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144:B145"/>
    <mergeCell ref="A98:A121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A170:A193"/>
    <mergeCell ref="B170:B171"/>
    <mergeCell ref="B172:B173"/>
    <mergeCell ref="B174:B175"/>
    <mergeCell ref="A122:A145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</mergeCells>
  <phoneticPr fontId="20" type="noConversion"/>
  <conditionalFormatting sqref="N12:Q34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40:Q6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70:Q9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L4" r:id="rId1" xr:uid="{AEBAF2EF-20BF-914A-B6FE-EA9C15059B66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40FF-F87E-C44E-819E-FC03D2641D7C}">
  <sheetPr>
    <pageSetUpPr fitToPage="1"/>
  </sheetPr>
  <dimension ref="A1:AL98"/>
  <sheetViews>
    <sheetView zoomScale="106" zoomScaleNormal="115" workbookViewId="0">
      <pane xSplit="2" ySplit="2" topLeftCell="C72" activePane="bottomRight" state="frozen"/>
      <selection pane="topRight" activeCell="C1" sqref="C1"/>
      <selection pane="bottomLeft" activeCell="A3" sqref="A3"/>
      <selection pane="bottomRight" activeCell="N114" sqref="N114"/>
    </sheetView>
  </sheetViews>
  <sheetFormatPr defaultColWidth="8.54296875" defaultRowHeight="14.5" x14ac:dyDescent="0.35"/>
  <cols>
    <col min="1" max="2" width="6" style="72" customWidth="1"/>
    <col min="3" max="10" width="12.54296875" style="72" customWidth="1"/>
    <col min="12" max="12" width="3.54296875" style="72" customWidth="1"/>
    <col min="13" max="14" width="11.1796875" style="72" bestFit="1" customWidth="1"/>
    <col min="15" max="15" width="10.54296875" style="72" bestFit="1" customWidth="1"/>
    <col min="16" max="17" width="11.1796875" style="72" bestFit="1" customWidth="1"/>
    <col min="18" max="18" width="11.81640625" style="72" bestFit="1" customWidth="1"/>
    <col min="19" max="19" width="13.1796875" style="72" customWidth="1"/>
    <col min="20" max="20" width="13" style="72" bestFit="1" customWidth="1"/>
    <col min="21" max="21" width="13.54296875" style="72" customWidth="1"/>
    <col min="22" max="23" width="10.54296875" style="72" customWidth="1"/>
    <col min="24" max="25" width="10.54296875" style="72" bestFit="1" customWidth="1"/>
    <col min="26" max="26" width="10.54296875" style="72" customWidth="1"/>
    <col min="27" max="27" width="10.453125" style="72" customWidth="1"/>
    <col min="28" max="30" width="20.1796875" style="72" customWidth="1"/>
    <col min="31" max="31" width="16.54296875" style="72" customWidth="1"/>
    <col min="32" max="34" width="11.1796875" style="72" customWidth="1"/>
    <col min="35" max="35" width="13" style="72" bestFit="1" customWidth="1"/>
    <col min="36" max="36" width="14" style="72" bestFit="1" customWidth="1"/>
    <col min="37" max="16384" width="8.54296875" style="72"/>
  </cols>
  <sheetData>
    <row r="1" spans="1:38" ht="17" x14ac:dyDescent="0.4">
      <c r="C1" s="177" t="s">
        <v>92</v>
      </c>
      <c r="D1" s="177"/>
      <c r="E1" s="177"/>
      <c r="F1" s="177"/>
      <c r="G1" s="177" t="s">
        <v>93</v>
      </c>
      <c r="H1" s="177"/>
      <c r="I1" s="177"/>
      <c r="J1" s="177"/>
      <c r="M1" s="169" t="s">
        <v>94</v>
      </c>
      <c r="N1" s="169"/>
      <c r="O1" s="169" t="s">
        <v>95</v>
      </c>
      <c r="P1" s="169"/>
      <c r="Q1" s="169" t="s">
        <v>89</v>
      </c>
      <c r="R1" s="169"/>
    </row>
    <row r="2" spans="1:38" ht="64.400000000000006" customHeight="1" x14ac:dyDescent="0.35">
      <c r="A2" s="73" t="s">
        <v>5</v>
      </c>
      <c r="B2" s="73" t="s">
        <v>6</v>
      </c>
      <c r="C2" s="79" t="s">
        <v>96</v>
      </c>
      <c r="D2" s="79" t="s">
        <v>97</v>
      </c>
      <c r="E2" s="79" t="s">
        <v>98</v>
      </c>
      <c r="F2" s="79" t="s">
        <v>99</v>
      </c>
      <c r="G2" s="79" t="s">
        <v>100</v>
      </c>
      <c r="H2" s="79" t="s">
        <v>101</v>
      </c>
      <c r="I2" s="79" t="s">
        <v>102</v>
      </c>
      <c r="J2" s="79" t="s">
        <v>103</v>
      </c>
      <c r="M2" s="75" t="s">
        <v>77</v>
      </c>
      <c r="N2" s="75" t="s">
        <v>104</v>
      </c>
      <c r="O2" s="75" t="s">
        <v>77</v>
      </c>
      <c r="P2" s="75" t="s">
        <v>104</v>
      </c>
      <c r="Q2" s="75" t="s">
        <v>77</v>
      </c>
      <c r="R2" s="75" t="s">
        <v>104</v>
      </c>
    </row>
    <row r="3" spans="1:38" x14ac:dyDescent="0.35">
      <c r="A3" s="174" t="s">
        <v>68</v>
      </c>
      <c r="B3" s="108">
        <v>1</v>
      </c>
      <c r="C3" s="109"/>
      <c r="D3" s="109"/>
      <c r="E3" s="109"/>
      <c r="F3" s="109"/>
      <c r="G3" s="109"/>
      <c r="H3" s="109"/>
      <c r="I3" s="109"/>
      <c r="J3" s="109"/>
      <c r="L3" s="110">
        <v>1</v>
      </c>
      <c r="M3" s="110"/>
      <c r="N3" s="110"/>
      <c r="O3" s="110"/>
      <c r="P3" s="110"/>
      <c r="Q3" s="110"/>
      <c r="R3" s="110"/>
    </row>
    <row r="4" spans="1:38" x14ac:dyDescent="0.35">
      <c r="A4" s="175"/>
      <c r="B4" s="111">
        <v>2</v>
      </c>
      <c r="C4" s="112">
        <v>16593009.386</v>
      </c>
      <c r="D4" s="113">
        <v>3131580.9609999997</v>
      </c>
      <c r="E4" s="113">
        <v>43447014.317000002</v>
      </c>
      <c r="F4" s="113">
        <v>777450.42200000037</v>
      </c>
      <c r="G4" s="113">
        <v>52324.35</v>
      </c>
      <c r="H4" s="113">
        <v>8036</v>
      </c>
      <c r="I4" s="113">
        <v>12990059.849999998</v>
      </c>
      <c r="J4" s="113">
        <v>2056132.2</v>
      </c>
      <c r="L4" s="110">
        <v>2</v>
      </c>
      <c r="M4" s="114">
        <f t="shared" ref="M4:M35" si="0">C4+D4</f>
        <v>19724590.346999999</v>
      </c>
      <c r="N4" s="114">
        <f t="shared" ref="N4:N35" si="1">E4+F4</f>
        <v>44224464.739</v>
      </c>
      <c r="O4" s="114">
        <f t="shared" ref="O4:O35" si="2">G4+H4</f>
        <v>60360.35</v>
      </c>
      <c r="P4" s="114">
        <f t="shared" ref="P4:P35" si="3">I4+J4</f>
        <v>15046192.049999997</v>
      </c>
      <c r="Q4" s="114">
        <f>M4+O4</f>
        <v>19784950.697000001</v>
      </c>
      <c r="R4" s="114">
        <f>N4+P4</f>
        <v>59270656.788999997</v>
      </c>
    </row>
    <row r="5" spans="1:38" x14ac:dyDescent="0.35">
      <c r="A5" s="175"/>
      <c r="B5" s="111">
        <v>3</v>
      </c>
      <c r="C5" s="113">
        <v>19561117.316999998</v>
      </c>
      <c r="D5" s="113">
        <v>3893187.7290000003</v>
      </c>
      <c r="E5" s="113">
        <v>46816973.929000013</v>
      </c>
      <c r="F5" s="113">
        <v>828493.63299999968</v>
      </c>
      <c r="G5" s="113">
        <v>58377.06</v>
      </c>
      <c r="H5" s="113">
        <v>8992</v>
      </c>
      <c r="I5" s="113">
        <v>13525865.51</v>
      </c>
      <c r="J5" s="113">
        <v>4326852.6100000003</v>
      </c>
      <c r="L5" s="110">
        <v>3</v>
      </c>
      <c r="M5" s="114">
        <f t="shared" si="0"/>
        <v>23454305.045999996</v>
      </c>
      <c r="N5" s="114">
        <f t="shared" si="1"/>
        <v>47645467.562000014</v>
      </c>
      <c r="O5" s="114">
        <f t="shared" si="2"/>
        <v>67369.06</v>
      </c>
      <c r="P5" s="114">
        <f t="shared" si="3"/>
        <v>17852718.120000001</v>
      </c>
      <c r="Q5" s="114">
        <f t="shared" ref="Q5:R14" si="4">M5+O5</f>
        <v>23521674.105999995</v>
      </c>
      <c r="R5" s="114">
        <f t="shared" si="4"/>
        <v>65498185.682000011</v>
      </c>
      <c r="V5" s="169" t="s">
        <v>105</v>
      </c>
      <c r="W5" s="169"/>
    </row>
    <row r="6" spans="1:38" x14ac:dyDescent="0.35">
      <c r="A6" s="175"/>
      <c r="B6" s="111">
        <v>4</v>
      </c>
      <c r="C6" s="113">
        <v>15531570.549000002</v>
      </c>
      <c r="D6" s="113">
        <v>7567958.0930000013</v>
      </c>
      <c r="E6" s="113">
        <v>46753758.034999989</v>
      </c>
      <c r="F6" s="113">
        <v>1212793.7690000003</v>
      </c>
      <c r="G6" s="113">
        <v>48768.3</v>
      </c>
      <c r="H6" s="113">
        <v>20324</v>
      </c>
      <c r="I6" s="113">
        <v>12941775.08</v>
      </c>
      <c r="J6" s="113">
        <v>7935094.6799999997</v>
      </c>
      <c r="L6" s="110">
        <v>4</v>
      </c>
      <c r="M6" s="114">
        <f t="shared" si="0"/>
        <v>23099528.642000005</v>
      </c>
      <c r="N6" s="114">
        <f t="shared" si="1"/>
        <v>47966551.80399999</v>
      </c>
      <c r="O6" s="114">
        <f t="shared" si="2"/>
        <v>69092.3</v>
      </c>
      <c r="P6" s="114">
        <f t="shared" si="3"/>
        <v>20876869.759999998</v>
      </c>
      <c r="Q6" s="114">
        <f t="shared" si="4"/>
        <v>23168620.942000005</v>
      </c>
      <c r="R6" s="114">
        <f t="shared" si="4"/>
        <v>68843421.563999981</v>
      </c>
      <c r="V6" s="169" t="s">
        <v>76</v>
      </c>
      <c r="W6" s="169"/>
    </row>
    <row r="7" spans="1:38" x14ac:dyDescent="0.35">
      <c r="A7" s="175"/>
      <c r="B7" s="111">
        <v>5</v>
      </c>
      <c r="C7" s="113">
        <v>15851024.726000002</v>
      </c>
      <c r="D7" s="113">
        <v>10517444.698999999</v>
      </c>
      <c r="E7" s="113">
        <v>51377385.978999995</v>
      </c>
      <c r="F7" s="113">
        <v>1010425.5609999998</v>
      </c>
      <c r="G7" s="113">
        <v>40814.39</v>
      </c>
      <c r="H7" s="113">
        <v>33865</v>
      </c>
      <c r="I7" s="113">
        <v>13529991.529999999</v>
      </c>
      <c r="J7" s="113">
        <v>5685335</v>
      </c>
      <c r="L7" s="110">
        <v>5</v>
      </c>
      <c r="M7" s="114">
        <f t="shared" si="0"/>
        <v>26368469.425000001</v>
      </c>
      <c r="N7" s="114">
        <f t="shared" si="1"/>
        <v>52387811.539999992</v>
      </c>
      <c r="O7" s="114">
        <f t="shared" si="2"/>
        <v>74679.39</v>
      </c>
      <c r="P7" s="114">
        <f t="shared" si="3"/>
        <v>19215326.530000001</v>
      </c>
      <c r="Q7" s="114">
        <f t="shared" si="4"/>
        <v>26443148.815000001</v>
      </c>
      <c r="R7" s="114">
        <f t="shared" si="4"/>
        <v>71603138.069999993</v>
      </c>
      <c r="V7" s="75" t="str">
        <f>Q2</f>
        <v>Bensiin</v>
      </c>
      <c r="W7" s="75" t="str">
        <f>R2</f>
        <v>Diisel</v>
      </c>
      <c r="AB7" s="169" t="s">
        <v>94</v>
      </c>
      <c r="AC7" s="169"/>
      <c r="AD7" s="169" t="s">
        <v>95</v>
      </c>
      <c r="AE7" s="169"/>
      <c r="AF7" s="169" t="s">
        <v>89</v>
      </c>
      <c r="AG7" s="169"/>
    </row>
    <row r="8" spans="1:38" x14ac:dyDescent="0.35">
      <c r="A8" s="175"/>
      <c r="B8" s="111">
        <v>6</v>
      </c>
      <c r="C8" s="113">
        <v>16499208.377000002</v>
      </c>
      <c r="D8" s="113">
        <v>11693666.311000001</v>
      </c>
      <c r="E8" s="113">
        <v>49043788.216000006</v>
      </c>
      <c r="F8" s="113">
        <v>1044557.7690000001</v>
      </c>
      <c r="G8" s="113">
        <v>58708.74</v>
      </c>
      <c r="H8" s="113">
        <v>29049.83</v>
      </c>
      <c r="I8" s="113">
        <v>11664261.169999996</v>
      </c>
      <c r="J8" s="113">
        <v>5455963.4400000004</v>
      </c>
      <c r="L8" s="110">
        <v>6</v>
      </c>
      <c r="M8" s="114">
        <f t="shared" si="0"/>
        <v>28192874.688000001</v>
      </c>
      <c r="N8" s="114">
        <f t="shared" si="1"/>
        <v>50088345.985000007</v>
      </c>
      <c r="O8" s="114">
        <f t="shared" si="2"/>
        <v>87758.57</v>
      </c>
      <c r="P8" s="114">
        <f t="shared" si="3"/>
        <v>17120224.609999996</v>
      </c>
      <c r="Q8" s="114">
        <f t="shared" si="4"/>
        <v>28280633.258000001</v>
      </c>
      <c r="R8" s="114">
        <f t="shared" si="4"/>
        <v>67208570.594999999</v>
      </c>
      <c r="AB8" s="75" t="s">
        <v>77</v>
      </c>
      <c r="AC8" s="75" t="s">
        <v>104</v>
      </c>
      <c r="AD8" s="75" t="s">
        <v>77</v>
      </c>
      <c r="AE8" s="75" t="s">
        <v>104</v>
      </c>
      <c r="AF8" s="75" t="s">
        <v>77</v>
      </c>
      <c r="AG8" s="75" t="s">
        <v>104</v>
      </c>
      <c r="AI8" s="72" t="s">
        <v>106</v>
      </c>
      <c r="AJ8" s="72" t="s">
        <v>107</v>
      </c>
    </row>
    <row r="9" spans="1:38" x14ac:dyDescent="0.35">
      <c r="A9" s="175"/>
      <c r="B9" s="111">
        <v>7</v>
      </c>
      <c r="C9" s="113">
        <v>16614060.490000002</v>
      </c>
      <c r="D9" s="113">
        <v>11507986.271999998</v>
      </c>
      <c r="E9" s="113">
        <v>52464647.846000008</v>
      </c>
      <c r="F9" s="113">
        <v>1172163.713</v>
      </c>
      <c r="G9" s="113">
        <v>37929.11</v>
      </c>
      <c r="H9" s="113">
        <v>32574.38</v>
      </c>
      <c r="I9" s="113">
        <v>12872591.939999998</v>
      </c>
      <c r="J9" s="113">
        <v>8346721.2300000004</v>
      </c>
      <c r="L9" s="110">
        <v>7</v>
      </c>
      <c r="M9" s="114">
        <f t="shared" si="0"/>
        <v>28122046.762000002</v>
      </c>
      <c r="N9" s="114">
        <f t="shared" si="1"/>
        <v>53636811.559000008</v>
      </c>
      <c r="O9" s="114">
        <f t="shared" si="2"/>
        <v>70503.490000000005</v>
      </c>
      <c r="P9" s="114">
        <f t="shared" si="3"/>
        <v>21219313.169999998</v>
      </c>
      <c r="Q9" s="114">
        <f t="shared" si="4"/>
        <v>28192550.252</v>
      </c>
      <c r="R9" s="114">
        <f t="shared" si="4"/>
        <v>74856124.729000002</v>
      </c>
      <c r="U9" s="72">
        <v>2</v>
      </c>
      <c r="V9" s="76">
        <f t="shared" ref="V9:V19" si="5">(Q16/Q4)-1</f>
        <v>3.198704235820804E-2</v>
      </c>
      <c r="W9" s="76">
        <f t="shared" ref="W9:W19" si="6">(R16/R4)-1</f>
        <v>-2.0451027804789912E-2</v>
      </c>
      <c r="AA9" s="75">
        <v>2020</v>
      </c>
      <c r="AB9" s="74">
        <f t="shared" ref="AB9:AG9" si="7">SUM(M15:M26)</f>
        <v>275625457.31599998</v>
      </c>
      <c r="AC9" s="74">
        <f t="shared" si="7"/>
        <v>634517326.55400002</v>
      </c>
      <c r="AD9" s="74">
        <f t="shared" si="7"/>
        <v>660958.44300000009</v>
      </c>
      <c r="AE9" s="74">
        <f t="shared" si="7"/>
        <v>220178640.07899997</v>
      </c>
      <c r="AF9" s="74">
        <f t="shared" si="7"/>
        <v>276286415.759</v>
      </c>
      <c r="AG9" s="74">
        <f t="shared" si="7"/>
        <v>854695966.63300002</v>
      </c>
      <c r="AI9" s="74">
        <f>AB9+AC9</f>
        <v>910142783.87</v>
      </c>
      <c r="AJ9" s="74">
        <f>AD9+AE9</f>
        <v>220839598.52199996</v>
      </c>
      <c r="AK9" s="76">
        <f>AI9/(AI9+AJ9)</f>
        <v>0.80473648222978533</v>
      </c>
      <c r="AL9" s="76">
        <f>AJ9/(AJ9+AI9)</f>
        <v>0.19526351777021461</v>
      </c>
    </row>
    <row r="10" spans="1:38" x14ac:dyDescent="0.35">
      <c r="A10" s="175"/>
      <c r="B10" s="111">
        <v>8</v>
      </c>
      <c r="C10" s="113">
        <v>16346580.088</v>
      </c>
      <c r="D10" s="113">
        <v>11494217.424000001</v>
      </c>
      <c r="E10" s="113">
        <v>52753882.442999989</v>
      </c>
      <c r="F10" s="113">
        <v>1361794.611</v>
      </c>
      <c r="G10" s="113">
        <v>34526.759999999995</v>
      </c>
      <c r="H10" s="113">
        <v>43977.72</v>
      </c>
      <c r="I10" s="113">
        <v>12188022.639999997</v>
      </c>
      <c r="J10" s="113">
        <v>13906717.27</v>
      </c>
      <c r="L10" s="110">
        <v>8</v>
      </c>
      <c r="M10" s="114">
        <f t="shared" si="0"/>
        <v>27840797.512000002</v>
      </c>
      <c r="N10" s="114">
        <f t="shared" si="1"/>
        <v>54115677.05399999</v>
      </c>
      <c r="O10" s="114">
        <f t="shared" si="2"/>
        <v>78504.479999999996</v>
      </c>
      <c r="P10" s="114">
        <f t="shared" si="3"/>
        <v>26094739.909999996</v>
      </c>
      <c r="Q10" s="114">
        <f t="shared" si="4"/>
        <v>27919301.992000002</v>
      </c>
      <c r="R10" s="114">
        <f t="shared" si="4"/>
        <v>80210416.963999987</v>
      </c>
      <c r="U10" s="72">
        <v>3</v>
      </c>
      <c r="V10" s="76">
        <f t="shared" si="5"/>
        <v>-0.18956424767668267</v>
      </c>
      <c r="W10" s="76">
        <f t="shared" si="6"/>
        <v>-1.5710732797943661E-2</v>
      </c>
      <c r="X10" s="170" t="s">
        <v>108</v>
      </c>
      <c r="Y10" s="170"/>
      <c r="Z10" s="80"/>
      <c r="AA10" s="75">
        <v>2021</v>
      </c>
      <c r="AB10" s="74">
        <f>SUM(M27:M38)</f>
        <v>278887441.45100009</v>
      </c>
      <c r="AC10" s="74">
        <f t="shared" ref="AC10:AE10" si="8">SUM(N27:N38)</f>
        <v>702112573.75999999</v>
      </c>
      <c r="AD10" s="74">
        <f t="shared" si="8"/>
        <v>741379.52</v>
      </c>
      <c r="AE10" s="74">
        <f t="shared" si="8"/>
        <v>226096848.22400004</v>
      </c>
      <c r="AF10" s="74">
        <f t="shared" ref="AF10" si="9">SUM(Q27:Q38)</f>
        <v>279628820.97099996</v>
      </c>
      <c r="AG10" s="74">
        <f t="shared" ref="AG10" si="10">SUM(R27:R38)</f>
        <v>928209421.98399997</v>
      </c>
      <c r="AI10" s="74">
        <f>AB10+AC10</f>
        <v>981000015.21100008</v>
      </c>
      <c r="AJ10" s="74">
        <f>AD10+AE10</f>
        <v>226838227.74400005</v>
      </c>
      <c r="AK10" s="76">
        <f>AI10/(AI10+AJ10)</f>
        <v>0.81219486212902492</v>
      </c>
      <c r="AL10" s="76">
        <f>AJ10/(AJ10+AI10)</f>
        <v>0.18780513787097503</v>
      </c>
    </row>
    <row r="11" spans="1:38" x14ac:dyDescent="0.35">
      <c r="A11" s="175"/>
      <c r="B11" s="111">
        <v>9</v>
      </c>
      <c r="C11" s="113">
        <v>14091273.568999998</v>
      </c>
      <c r="D11" s="113">
        <v>10009428.402999997</v>
      </c>
      <c r="E11" s="113">
        <v>50145826.313999996</v>
      </c>
      <c r="F11" s="113">
        <v>1050620.5960000001</v>
      </c>
      <c r="G11" s="113">
        <v>29313.14</v>
      </c>
      <c r="H11" s="113">
        <v>36391.9</v>
      </c>
      <c r="I11" s="113">
        <v>12737963.260000002</v>
      </c>
      <c r="J11" s="113">
        <v>8512790.0199999996</v>
      </c>
      <c r="L11" s="110">
        <v>9</v>
      </c>
      <c r="M11" s="114">
        <f t="shared" si="0"/>
        <v>24100701.971999995</v>
      </c>
      <c r="N11" s="114">
        <f t="shared" si="1"/>
        <v>51196446.909999996</v>
      </c>
      <c r="O11" s="114">
        <f t="shared" si="2"/>
        <v>65705.040000000008</v>
      </c>
      <c r="P11" s="114">
        <f t="shared" si="3"/>
        <v>21250753.280000001</v>
      </c>
      <c r="Q11" s="114">
        <f t="shared" si="4"/>
        <v>24166407.011999995</v>
      </c>
      <c r="R11" s="114">
        <f t="shared" si="4"/>
        <v>72447200.189999998</v>
      </c>
      <c r="U11" s="72">
        <v>4</v>
      </c>
      <c r="V11" s="76">
        <f t="shared" si="5"/>
        <v>-0.29172823755545252</v>
      </c>
      <c r="W11" s="76">
        <f t="shared" si="6"/>
        <v>-0.1149881171673135</v>
      </c>
      <c r="X11" s="170"/>
      <c r="Y11" s="170"/>
      <c r="Z11" s="80"/>
      <c r="AA11" s="94"/>
      <c r="AB11" s="94"/>
      <c r="AC11" s="94"/>
      <c r="AD11" s="94"/>
      <c r="AE11" s="94"/>
      <c r="AF11" s="95"/>
      <c r="AG11" s="95"/>
    </row>
    <row r="12" spans="1:38" x14ac:dyDescent="0.35">
      <c r="A12" s="175"/>
      <c r="B12" s="111">
        <v>10</v>
      </c>
      <c r="C12" s="113">
        <v>13904988.601</v>
      </c>
      <c r="D12" s="113">
        <v>9268099.4810000006</v>
      </c>
      <c r="E12" s="113">
        <v>50550885.736000001</v>
      </c>
      <c r="F12" s="113">
        <v>938655.61299999966</v>
      </c>
      <c r="G12" s="113">
        <v>23997.52</v>
      </c>
      <c r="H12" s="113">
        <v>26325</v>
      </c>
      <c r="I12" s="113">
        <v>13080693.389999999</v>
      </c>
      <c r="J12" s="113">
        <v>5142223.9000000004</v>
      </c>
      <c r="L12" s="110">
        <v>10</v>
      </c>
      <c r="M12" s="114">
        <f t="shared" si="0"/>
        <v>23173088.082000002</v>
      </c>
      <c r="N12" s="114">
        <f t="shared" si="1"/>
        <v>51489541.348999999</v>
      </c>
      <c r="O12" s="114">
        <f t="shared" si="2"/>
        <v>50322.520000000004</v>
      </c>
      <c r="P12" s="114">
        <f t="shared" si="3"/>
        <v>18222917.289999999</v>
      </c>
      <c r="Q12" s="114">
        <f t="shared" si="4"/>
        <v>23223410.602000002</v>
      </c>
      <c r="R12" s="114">
        <f t="shared" si="4"/>
        <v>69712458.638999999</v>
      </c>
      <c r="U12" s="72">
        <v>5</v>
      </c>
      <c r="V12" s="76">
        <f t="shared" si="5"/>
        <v>-9.8946227255500285E-2</v>
      </c>
      <c r="W12" s="76">
        <f t="shared" si="6"/>
        <v>6.1635899318902787E-2</v>
      </c>
      <c r="X12" s="170" t="s">
        <v>109</v>
      </c>
      <c r="Y12" s="170"/>
      <c r="Z12" s="80"/>
      <c r="AF12" s="96"/>
      <c r="AG12" s="96"/>
    </row>
    <row r="13" spans="1:38" x14ac:dyDescent="0.35">
      <c r="A13" s="175"/>
      <c r="B13" s="111">
        <v>11</v>
      </c>
      <c r="C13" s="113">
        <v>13286470.134</v>
      </c>
      <c r="D13" s="113">
        <v>8717047.9420000017</v>
      </c>
      <c r="E13" s="113">
        <v>47149262.308999993</v>
      </c>
      <c r="F13" s="113">
        <v>779470.07900000014</v>
      </c>
      <c r="G13" s="113">
        <v>28791.05</v>
      </c>
      <c r="H13" s="113">
        <v>17112.169999999998</v>
      </c>
      <c r="I13" s="113">
        <v>13365712.529999999</v>
      </c>
      <c r="J13" s="113">
        <v>3695525.15</v>
      </c>
      <c r="L13" s="110">
        <v>11</v>
      </c>
      <c r="M13" s="114">
        <f t="shared" si="0"/>
        <v>22003518.076000001</v>
      </c>
      <c r="N13" s="114">
        <f t="shared" si="1"/>
        <v>47928732.387999997</v>
      </c>
      <c r="O13" s="114">
        <f t="shared" si="2"/>
        <v>45903.22</v>
      </c>
      <c r="P13" s="114">
        <f t="shared" si="3"/>
        <v>17061237.68</v>
      </c>
      <c r="Q13" s="114">
        <f t="shared" si="4"/>
        <v>22049421.296</v>
      </c>
      <c r="R13" s="114">
        <f t="shared" si="4"/>
        <v>64989970.067999996</v>
      </c>
      <c r="U13" s="72">
        <v>6</v>
      </c>
      <c r="V13" s="76">
        <f t="shared" si="5"/>
        <v>-4.5305799884716391E-2</v>
      </c>
      <c r="W13" s="76">
        <f t="shared" si="6"/>
        <v>4.8582623229349364E-2</v>
      </c>
      <c r="X13" s="170"/>
      <c r="Y13" s="170"/>
      <c r="Z13" s="80"/>
    </row>
    <row r="14" spans="1:38" x14ac:dyDescent="0.35">
      <c r="A14" s="176"/>
      <c r="B14" s="111">
        <v>12</v>
      </c>
      <c r="C14" s="113">
        <v>13416930.329999998</v>
      </c>
      <c r="D14" s="113">
        <v>8568539.3859999981</v>
      </c>
      <c r="E14" s="113">
        <v>42869637.231000006</v>
      </c>
      <c r="F14" s="113">
        <v>763326.66700000025</v>
      </c>
      <c r="G14" s="113">
        <v>26519.42</v>
      </c>
      <c r="H14" s="113">
        <v>36647</v>
      </c>
      <c r="I14" s="113">
        <v>11427864.189999998</v>
      </c>
      <c r="J14" s="113">
        <v>2639507.34</v>
      </c>
      <c r="L14" s="110">
        <v>12</v>
      </c>
      <c r="M14" s="114">
        <f t="shared" si="0"/>
        <v>21985469.715999998</v>
      </c>
      <c r="N14" s="114">
        <f t="shared" si="1"/>
        <v>43632963.898000009</v>
      </c>
      <c r="O14" s="114">
        <f t="shared" si="2"/>
        <v>63166.42</v>
      </c>
      <c r="P14" s="114">
        <f t="shared" si="3"/>
        <v>14067371.529999997</v>
      </c>
      <c r="Q14" s="114">
        <f t="shared" si="4"/>
        <v>22048636.136</v>
      </c>
      <c r="R14" s="114">
        <f t="shared" si="4"/>
        <v>57700335.428000003</v>
      </c>
      <c r="U14" s="72">
        <v>7</v>
      </c>
      <c r="V14" s="76">
        <f t="shared" si="5"/>
        <v>2.410687390551991E-2</v>
      </c>
      <c r="W14" s="76">
        <f t="shared" si="6"/>
        <v>5.7733626335130461E-2</v>
      </c>
      <c r="X14" s="170"/>
      <c r="Y14" s="170"/>
      <c r="Z14" s="80"/>
    </row>
    <row r="15" spans="1:38" ht="15" customHeight="1" x14ac:dyDescent="0.35">
      <c r="A15" s="172" t="s">
        <v>87</v>
      </c>
      <c r="B15" s="104">
        <v>1</v>
      </c>
      <c r="C15" s="105">
        <v>12550852.275000002</v>
      </c>
      <c r="D15" s="105">
        <v>7687557.8590000002</v>
      </c>
      <c r="E15" s="105">
        <v>42740232.945</v>
      </c>
      <c r="F15" s="105">
        <v>730751.02899999998</v>
      </c>
      <c r="G15" s="105">
        <v>23416.381000000001</v>
      </c>
      <c r="H15" s="105">
        <v>22113</v>
      </c>
      <c r="I15" s="105">
        <v>12554954.140000001</v>
      </c>
      <c r="J15" s="105">
        <v>2312518.7200000002</v>
      </c>
      <c r="L15" s="106">
        <v>1</v>
      </c>
      <c r="M15" s="107">
        <f t="shared" si="0"/>
        <v>20238410.134000003</v>
      </c>
      <c r="N15" s="107">
        <f t="shared" si="1"/>
        <v>43470983.973999999</v>
      </c>
      <c r="O15" s="107">
        <f t="shared" si="2"/>
        <v>45529.381000000001</v>
      </c>
      <c r="P15" s="107">
        <f t="shared" si="3"/>
        <v>14867472.860000001</v>
      </c>
      <c r="Q15" s="107">
        <f t="shared" ref="Q15:R26" si="11">M15+O15</f>
        <v>20283939.515000004</v>
      </c>
      <c r="R15" s="107">
        <f t="shared" si="11"/>
        <v>58338456.833999999</v>
      </c>
      <c r="U15" s="72">
        <v>8</v>
      </c>
      <c r="V15" s="76">
        <f t="shared" si="5"/>
        <v>2.5848914998189754E-2</v>
      </c>
      <c r="W15" s="76">
        <f t="shared" si="6"/>
        <v>7.9745654954902712E-2</v>
      </c>
    </row>
    <row r="16" spans="1:38" x14ac:dyDescent="0.35">
      <c r="A16" s="172"/>
      <c r="B16" s="104">
        <v>2</v>
      </c>
      <c r="C16" s="105">
        <v>12214148.411</v>
      </c>
      <c r="D16" s="105">
        <v>8149565.21</v>
      </c>
      <c r="E16" s="105">
        <v>44329843.556999996</v>
      </c>
      <c r="F16" s="105">
        <v>713801.15200000012</v>
      </c>
      <c r="G16" s="105">
        <v>17790.132000000001</v>
      </c>
      <c r="H16" s="105">
        <v>36309</v>
      </c>
      <c r="I16" s="105">
        <v>10724985.970000001</v>
      </c>
      <c r="J16" s="105">
        <v>2289880.2599999998</v>
      </c>
      <c r="L16" s="106">
        <v>2</v>
      </c>
      <c r="M16" s="107">
        <f t="shared" si="0"/>
        <v>20363713.620999999</v>
      </c>
      <c r="N16" s="107">
        <f t="shared" si="1"/>
        <v>45043644.708999999</v>
      </c>
      <c r="O16" s="107">
        <f t="shared" si="2"/>
        <v>54099.131999999998</v>
      </c>
      <c r="P16" s="107">
        <f t="shared" si="3"/>
        <v>13014866.23</v>
      </c>
      <c r="Q16" s="107">
        <f t="shared" si="11"/>
        <v>20417812.752999999</v>
      </c>
      <c r="R16" s="107">
        <f t="shared" si="11"/>
        <v>58058510.938999996</v>
      </c>
      <c r="U16" s="72">
        <v>9</v>
      </c>
      <c r="V16" s="76">
        <f t="shared" si="5"/>
        <v>2.77298280487972E-2</v>
      </c>
      <c r="W16" s="76">
        <f t="shared" si="6"/>
        <v>0.13831198878246131</v>
      </c>
    </row>
    <row r="17" spans="1:31" ht="15" customHeight="1" x14ac:dyDescent="0.35">
      <c r="A17" s="172"/>
      <c r="B17" s="104">
        <v>3</v>
      </c>
      <c r="C17" s="105">
        <v>11002801.183</v>
      </c>
      <c r="D17" s="105">
        <v>8008551.2569999993</v>
      </c>
      <c r="E17" s="105">
        <v>44440519.017000005</v>
      </c>
      <c r="F17" s="105">
        <v>842307.01100000006</v>
      </c>
      <c r="G17" s="105">
        <v>16827</v>
      </c>
      <c r="H17" s="105">
        <v>34626.21</v>
      </c>
      <c r="I17" s="105">
        <v>12541006.100000001</v>
      </c>
      <c r="J17" s="105">
        <v>6645329.0599999996</v>
      </c>
      <c r="L17" s="106">
        <v>3</v>
      </c>
      <c r="M17" s="107">
        <f t="shared" si="0"/>
        <v>19011352.439999998</v>
      </c>
      <c r="N17" s="107">
        <f t="shared" si="1"/>
        <v>45282826.028000005</v>
      </c>
      <c r="O17" s="107">
        <f t="shared" si="2"/>
        <v>51453.21</v>
      </c>
      <c r="P17" s="107">
        <f t="shared" si="3"/>
        <v>19186335.16</v>
      </c>
      <c r="Q17" s="107">
        <f t="shared" si="11"/>
        <v>19062805.649999999</v>
      </c>
      <c r="R17" s="107">
        <f t="shared" si="11"/>
        <v>64469161.188000008</v>
      </c>
      <c r="U17" s="72">
        <v>10</v>
      </c>
      <c r="V17" s="76">
        <f t="shared" si="5"/>
        <v>3.5145560141355947E-2</v>
      </c>
      <c r="W17" s="76">
        <f t="shared" si="6"/>
        <v>0.10248099174059599</v>
      </c>
    </row>
    <row r="18" spans="1:31" x14ac:dyDescent="0.35">
      <c r="A18" s="172"/>
      <c r="B18" s="104">
        <v>4</v>
      </c>
      <c r="C18" s="105">
        <v>9113940.1979999989</v>
      </c>
      <c r="D18" s="105">
        <v>7253871.7799999984</v>
      </c>
      <c r="E18" s="105">
        <v>41292933.778999992</v>
      </c>
      <c r="F18" s="105">
        <v>980859.60999999929</v>
      </c>
      <c r="G18" s="105">
        <v>14687</v>
      </c>
      <c r="H18" s="105">
        <v>27181.01</v>
      </c>
      <c r="I18" s="105">
        <v>10840353.799999999</v>
      </c>
      <c r="J18" s="105">
        <v>7813098.9500000002</v>
      </c>
      <c r="L18" s="106">
        <v>4</v>
      </c>
      <c r="M18" s="107">
        <f t="shared" si="0"/>
        <v>16367811.977999996</v>
      </c>
      <c r="N18" s="107">
        <f t="shared" si="1"/>
        <v>42273793.388999991</v>
      </c>
      <c r="O18" s="107">
        <f t="shared" si="2"/>
        <v>41868.009999999995</v>
      </c>
      <c r="P18" s="107">
        <f t="shared" si="3"/>
        <v>18653452.75</v>
      </c>
      <c r="Q18" s="107">
        <f t="shared" si="11"/>
        <v>16409679.987999996</v>
      </c>
      <c r="R18" s="107">
        <f t="shared" si="11"/>
        <v>60927246.138999991</v>
      </c>
      <c r="U18" s="72">
        <v>11</v>
      </c>
      <c r="V18" s="76">
        <f t="shared" si="5"/>
        <v>-1.5913236918542073E-2</v>
      </c>
      <c r="W18" s="76">
        <f t="shared" si="6"/>
        <v>0.10681466533584505</v>
      </c>
      <c r="X18" s="171" t="s">
        <v>110</v>
      </c>
      <c r="Y18" s="171"/>
      <c r="Z18" s="75"/>
    </row>
    <row r="19" spans="1:31" x14ac:dyDescent="0.35">
      <c r="A19" s="172"/>
      <c r="B19" s="104">
        <v>5</v>
      </c>
      <c r="C19" s="105">
        <v>12504440.352</v>
      </c>
      <c r="D19" s="105">
        <v>11277778.181</v>
      </c>
      <c r="E19" s="105">
        <v>52344189.890000015</v>
      </c>
      <c r="F19" s="105">
        <v>1009557.1140000001</v>
      </c>
      <c r="G19" s="105">
        <v>10002</v>
      </c>
      <c r="H19" s="105">
        <v>34478.47</v>
      </c>
      <c r="I19" s="105">
        <v>12831570.285</v>
      </c>
      <c r="J19" s="105">
        <v>9831144.5899999999</v>
      </c>
      <c r="L19" s="106">
        <v>5</v>
      </c>
      <c r="M19" s="107">
        <f t="shared" si="0"/>
        <v>23782218.533</v>
      </c>
      <c r="N19" s="107">
        <f t="shared" si="1"/>
        <v>53353747.004000016</v>
      </c>
      <c r="O19" s="107">
        <f t="shared" si="2"/>
        <v>44480.47</v>
      </c>
      <c r="P19" s="107">
        <f t="shared" si="3"/>
        <v>22662714.875</v>
      </c>
      <c r="Q19" s="107">
        <f t="shared" si="11"/>
        <v>23826699.002999999</v>
      </c>
      <c r="R19" s="107">
        <f t="shared" si="11"/>
        <v>76016461.879000008</v>
      </c>
      <c r="U19" s="72">
        <v>12</v>
      </c>
      <c r="V19" s="77">
        <f t="shared" si="5"/>
        <v>-3.8568159942171887E-2</v>
      </c>
      <c r="W19" s="77">
        <f t="shared" si="6"/>
        <v>0.20227501939852321</v>
      </c>
      <c r="X19" s="171"/>
      <c r="Y19" s="171"/>
      <c r="Z19" s="75"/>
    </row>
    <row r="20" spans="1:31" x14ac:dyDescent="0.35">
      <c r="A20" s="172"/>
      <c r="B20" s="104">
        <v>6</v>
      </c>
      <c r="C20" s="105">
        <v>14217887.044</v>
      </c>
      <c r="D20" s="105">
        <v>12707468.173000002</v>
      </c>
      <c r="E20" s="105">
        <v>53213388.328000024</v>
      </c>
      <c r="F20" s="105">
        <v>795191.94</v>
      </c>
      <c r="G20" s="105">
        <v>21885</v>
      </c>
      <c r="H20" s="105">
        <v>52116.33</v>
      </c>
      <c r="I20" s="105">
        <v>10686407.939999998</v>
      </c>
      <c r="J20" s="105">
        <v>5778751.0499999998</v>
      </c>
      <c r="L20" s="106">
        <v>6</v>
      </c>
      <c r="M20" s="107">
        <f t="shared" si="0"/>
        <v>26925355.217</v>
      </c>
      <c r="N20" s="107">
        <f t="shared" si="1"/>
        <v>54008580.268000022</v>
      </c>
      <c r="O20" s="107">
        <f t="shared" si="2"/>
        <v>74001.33</v>
      </c>
      <c r="P20" s="107">
        <f t="shared" si="3"/>
        <v>16465158.989999998</v>
      </c>
      <c r="Q20" s="107">
        <f t="shared" si="11"/>
        <v>26999356.546999998</v>
      </c>
      <c r="R20" s="107">
        <f t="shared" si="11"/>
        <v>70473739.258000016</v>
      </c>
      <c r="S20" s="74"/>
      <c r="T20" s="74"/>
      <c r="U20" s="78" t="s">
        <v>89</v>
      </c>
      <c r="V20" s="123">
        <f>(SUM(Q16:Q26)/SUM(Q4:Q14))-1</f>
        <v>-4.7605424581890654E-2</v>
      </c>
      <c r="W20" s="123">
        <f>(SUM(R16:R26)/SUM(R4:R14))-1</f>
        <v>5.8506796226099445E-2</v>
      </c>
    </row>
    <row r="21" spans="1:31" x14ac:dyDescent="0.35">
      <c r="A21" s="172"/>
      <c r="B21" s="104">
        <v>7</v>
      </c>
      <c r="C21" s="105">
        <v>15397952.936999999</v>
      </c>
      <c r="D21" s="105">
        <v>13390925.619000001</v>
      </c>
      <c r="E21" s="105">
        <v>58672466.396000013</v>
      </c>
      <c r="F21" s="105">
        <v>1394980.2330000012</v>
      </c>
      <c r="G21" s="105">
        <v>35179</v>
      </c>
      <c r="H21" s="105">
        <v>48126.95</v>
      </c>
      <c r="I21" s="105">
        <v>10904831.26</v>
      </c>
      <c r="J21" s="105">
        <v>8205562.3739999998</v>
      </c>
      <c r="L21" s="106">
        <v>7</v>
      </c>
      <c r="M21" s="107">
        <f t="shared" si="0"/>
        <v>28788878.556000002</v>
      </c>
      <c r="N21" s="107">
        <f t="shared" si="1"/>
        <v>60067446.629000016</v>
      </c>
      <c r="O21" s="107">
        <f t="shared" si="2"/>
        <v>83305.95</v>
      </c>
      <c r="P21" s="107">
        <f t="shared" si="3"/>
        <v>19110393.634</v>
      </c>
      <c r="Q21" s="107">
        <f t="shared" si="11"/>
        <v>28872184.506000001</v>
      </c>
      <c r="R21" s="107">
        <f t="shared" si="11"/>
        <v>79177840.263000011</v>
      </c>
      <c r="S21" s="74"/>
      <c r="T21" s="74"/>
      <c r="AB21" s="125"/>
      <c r="AC21" s="125"/>
      <c r="AD21" s="125"/>
    </row>
    <row r="22" spans="1:31" x14ac:dyDescent="0.35">
      <c r="A22" s="172"/>
      <c r="B22" s="104">
        <v>8</v>
      </c>
      <c r="C22" s="105">
        <v>14733840.687999997</v>
      </c>
      <c r="D22" s="105">
        <v>13837673.058000002</v>
      </c>
      <c r="E22" s="105">
        <v>59595684.167999998</v>
      </c>
      <c r="F22" s="105">
        <v>1623912.6909999996</v>
      </c>
      <c r="G22" s="105">
        <v>18107</v>
      </c>
      <c r="H22" s="105">
        <v>51364.91</v>
      </c>
      <c r="I22" s="105">
        <v>10821401.890000001</v>
      </c>
      <c r="J22" s="105">
        <v>14565850.449999999</v>
      </c>
      <c r="L22" s="106">
        <v>8</v>
      </c>
      <c r="M22" s="107">
        <f t="shared" si="0"/>
        <v>28571513.745999999</v>
      </c>
      <c r="N22" s="107">
        <f t="shared" si="1"/>
        <v>61219596.858999997</v>
      </c>
      <c r="O22" s="107">
        <f t="shared" si="2"/>
        <v>69471.91</v>
      </c>
      <c r="P22" s="107">
        <f t="shared" si="3"/>
        <v>25387252.34</v>
      </c>
      <c r="Q22" s="107">
        <f t="shared" si="11"/>
        <v>28640985.655999999</v>
      </c>
      <c r="R22" s="107">
        <f t="shared" si="11"/>
        <v>86606849.199000001</v>
      </c>
      <c r="S22" s="99"/>
      <c r="T22" s="99"/>
      <c r="U22" s="78" t="s">
        <v>41</v>
      </c>
      <c r="V22" s="168">
        <f>(SUM(Q16:R26)/SUM(Q4:R14))-1</f>
        <v>3.0574432146752928E-2</v>
      </c>
      <c r="W22" s="168"/>
      <c r="AB22" s="74"/>
      <c r="AC22" s="126"/>
      <c r="AD22" s="126"/>
      <c r="AE22" s="126"/>
    </row>
    <row r="23" spans="1:31" x14ac:dyDescent="0.35">
      <c r="A23" s="172"/>
      <c r="B23" s="104">
        <v>9</v>
      </c>
      <c r="C23" s="105">
        <v>12799297.360999998</v>
      </c>
      <c r="D23" s="105">
        <v>11971566.662</v>
      </c>
      <c r="E23" s="105">
        <v>58533124.410000004</v>
      </c>
      <c r="F23" s="105">
        <v>1686125.6700000002</v>
      </c>
      <c r="G23" s="105">
        <v>17519</v>
      </c>
      <c r="H23" s="105">
        <v>48154.3</v>
      </c>
      <c r="I23" s="105">
        <v>10998581.109999999</v>
      </c>
      <c r="J23" s="105">
        <v>11249685.34</v>
      </c>
      <c r="L23" s="106">
        <v>9</v>
      </c>
      <c r="M23" s="107">
        <f t="shared" si="0"/>
        <v>24770864.022999998</v>
      </c>
      <c r="N23" s="107">
        <f t="shared" si="1"/>
        <v>60219250.080000006</v>
      </c>
      <c r="O23" s="107">
        <f t="shared" si="2"/>
        <v>65673.3</v>
      </c>
      <c r="P23" s="107">
        <f t="shared" si="3"/>
        <v>22248266.449999999</v>
      </c>
      <c r="Q23" s="107">
        <f t="shared" si="11"/>
        <v>24836537.322999999</v>
      </c>
      <c r="R23" s="107">
        <f t="shared" si="11"/>
        <v>82467516.530000001</v>
      </c>
      <c r="S23" s="99"/>
      <c r="T23" s="99"/>
      <c r="AB23" s="74"/>
      <c r="AC23" s="126"/>
      <c r="AD23" s="126"/>
      <c r="AE23" s="126"/>
    </row>
    <row r="24" spans="1:31" x14ac:dyDescent="0.35">
      <c r="A24" s="172"/>
      <c r="B24" s="104">
        <v>10</v>
      </c>
      <c r="C24" s="105">
        <v>12487641.511</v>
      </c>
      <c r="D24" s="105">
        <v>11509110.614999998</v>
      </c>
      <c r="E24" s="105">
        <v>58115355.953000002</v>
      </c>
      <c r="F24" s="105">
        <v>1456221.3839999996</v>
      </c>
      <c r="G24" s="105">
        <v>9550</v>
      </c>
      <c r="H24" s="105">
        <v>33308.25</v>
      </c>
      <c r="I24" s="105">
        <v>10913681.439999998</v>
      </c>
      <c r="J24" s="105">
        <v>6371401.7599999998</v>
      </c>
      <c r="L24" s="106">
        <v>10</v>
      </c>
      <c r="M24" s="107">
        <f t="shared" si="0"/>
        <v>23996752.125999998</v>
      </c>
      <c r="N24" s="107">
        <f t="shared" si="1"/>
        <v>59571577.336999997</v>
      </c>
      <c r="O24" s="107">
        <f t="shared" si="2"/>
        <v>42858.25</v>
      </c>
      <c r="P24" s="107">
        <f t="shared" si="3"/>
        <v>17285083.199999996</v>
      </c>
      <c r="Q24" s="107">
        <f t="shared" si="11"/>
        <v>24039610.375999998</v>
      </c>
      <c r="R24" s="107">
        <f t="shared" si="11"/>
        <v>76856660.537</v>
      </c>
      <c r="S24" s="99"/>
      <c r="T24" s="99"/>
      <c r="V24" s="169" t="s">
        <v>105</v>
      </c>
      <c r="W24" s="169"/>
    </row>
    <row r="25" spans="1:31" x14ac:dyDescent="0.35">
      <c r="A25" s="172"/>
      <c r="B25" s="104">
        <v>11</v>
      </c>
      <c r="C25" s="105">
        <v>11505266.768000001</v>
      </c>
      <c r="D25" s="105">
        <v>10137986.363000004</v>
      </c>
      <c r="E25" s="105">
        <v>55134143.373999998</v>
      </c>
      <c r="F25" s="105">
        <v>1269519.9670000009</v>
      </c>
      <c r="G25" s="105">
        <v>19287</v>
      </c>
      <c r="H25" s="105">
        <v>36003.5</v>
      </c>
      <c r="I25" s="105">
        <v>11106944.340000002</v>
      </c>
      <c r="J25" s="105">
        <v>4421244.29</v>
      </c>
      <c r="L25" s="106">
        <v>11</v>
      </c>
      <c r="M25" s="107">
        <f t="shared" si="0"/>
        <v>21643253.131000005</v>
      </c>
      <c r="N25" s="107">
        <f t="shared" si="1"/>
        <v>56403663.340999998</v>
      </c>
      <c r="O25" s="107">
        <f t="shared" si="2"/>
        <v>55290.5</v>
      </c>
      <c r="P25" s="107">
        <f t="shared" si="3"/>
        <v>15528188.630000003</v>
      </c>
      <c r="Q25" s="107">
        <f t="shared" si="11"/>
        <v>21698543.631000005</v>
      </c>
      <c r="R25" s="107">
        <f t="shared" si="11"/>
        <v>71931851.971000001</v>
      </c>
      <c r="S25" s="99"/>
      <c r="T25" s="99"/>
      <c r="V25" s="169" t="s">
        <v>90</v>
      </c>
      <c r="W25" s="169"/>
    </row>
    <row r="26" spans="1:31" ht="16.399999999999999" customHeight="1" x14ac:dyDescent="0.45">
      <c r="A26" s="172"/>
      <c r="B26" s="104">
        <v>12</v>
      </c>
      <c r="C26" s="105">
        <v>11226069.758000001</v>
      </c>
      <c r="D26" s="105">
        <v>9939264.0529999994</v>
      </c>
      <c r="E26" s="105">
        <v>52385096.073000006</v>
      </c>
      <c r="F26" s="105">
        <v>1217120.8630000001</v>
      </c>
      <c r="G26" s="105">
        <v>9572</v>
      </c>
      <c r="H26" s="105">
        <v>23355</v>
      </c>
      <c r="I26" s="105">
        <v>11217829.460000001</v>
      </c>
      <c r="J26" s="105">
        <v>4551625.5</v>
      </c>
      <c r="L26" s="106">
        <v>12</v>
      </c>
      <c r="M26" s="107">
        <f t="shared" si="0"/>
        <v>21165333.811000001</v>
      </c>
      <c r="N26" s="107">
        <f t="shared" si="1"/>
        <v>53602216.936000004</v>
      </c>
      <c r="O26" s="107">
        <f t="shared" si="2"/>
        <v>32927</v>
      </c>
      <c r="P26" s="107">
        <f t="shared" si="3"/>
        <v>15769454.960000001</v>
      </c>
      <c r="Q26" s="107">
        <f t="shared" si="11"/>
        <v>21198260.811000001</v>
      </c>
      <c r="R26" s="107">
        <f t="shared" si="11"/>
        <v>69371671.895999998</v>
      </c>
      <c r="S26" s="99"/>
      <c r="T26" s="99"/>
      <c r="V26" s="75" t="str">
        <f>V7</f>
        <v>Bensiin</v>
      </c>
      <c r="W26" s="75" t="str">
        <f>W7</f>
        <v>Diisel</v>
      </c>
      <c r="AA26" s="127"/>
    </row>
    <row r="27" spans="1:31" x14ac:dyDescent="0.35">
      <c r="A27" s="173" t="s">
        <v>91</v>
      </c>
      <c r="B27" s="101">
        <v>1</v>
      </c>
      <c r="C27" s="124">
        <v>10477637.148000002</v>
      </c>
      <c r="D27" s="124">
        <v>9093741.3579999991</v>
      </c>
      <c r="E27" s="124">
        <v>52923164.804999992</v>
      </c>
      <c r="F27" s="124">
        <v>618853.51099999994</v>
      </c>
      <c r="G27" s="124">
        <v>14038.83</v>
      </c>
      <c r="H27" s="124">
        <v>30837.77</v>
      </c>
      <c r="I27" s="124">
        <v>11264700.740000002</v>
      </c>
      <c r="J27" s="124">
        <v>3963060.52</v>
      </c>
      <c r="L27" s="102">
        <v>1</v>
      </c>
      <c r="M27" s="103">
        <f t="shared" si="0"/>
        <v>19571378.506000001</v>
      </c>
      <c r="N27" s="103">
        <f t="shared" si="1"/>
        <v>53542018.315999992</v>
      </c>
      <c r="O27" s="103">
        <f t="shared" si="2"/>
        <v>44876.6</v>
      </c>
      <c r="P27" s="103">
        <f t="shared" si="3"/>
        <v>15227761.260000002</v>
      </c>
      <c r="Q27" s="103">
        <f t="shared" ref="Q27:Q28" si="12">M27+O27</f>
        <v>19616255.106000002</v>
      </c>
      <c r="R27" s="103">
        <f t="shared" ref="R27:R28" si="13">N27+P27</f>
        <v>68769779.57599999</v>
      </c>
      <c r="S27" s="74"/>
      <c r="T27" s="74"/>
      <c r="U27" s="72">
        <v>1</v>
      </c>
      <c r="V27" s="76">
        <f t="shared" ref="V27:W30" si="14">(Q27/Q15)-1</f>
        <v>-3.291690001866987E-2</v>
      </c>
      <c r="W27" s="76">
        <f t="shared" si="14"/>
        <v>0.17880697070342388</v>
      </c>
    </row>
    <row r="28" spans="1:31" x14ac:dyDescent="0.35">
      <c r="A28" s="173"/>
      <c r="B28" s="101">
        <v>2</v>
      </c>
      <c r="C28" s="124">
        <v>10427686.280000001</v>
      </c>
      <c r="D28" s="124">
        <v>8887457.6899999976</v>
      </c>
      <c r="E28" s="124">
        <v>50721508.007999994</v>
      </c>
      <c r="F28" s="124">
        <v>586144.20599999954</v>
      </c>
      <c r="G28" s="124">
        <v>15242.75</v>
      </c>
      <c r="H28" s="124">
        <v>35630.44</v>
      </c>
      <c r="I28" s="124">
        <v>12088616.029999997</v>
      </c>
      <c r="J28" s="124">
        <v>3672991.01</v>
      </c>
      <c r="L28" s="102">
        <f t="shared" ref="L28:L38" si="15">L27+1</f>
        <v>2</v>
      </c>
      <c r="M28" s="103">
        <f t="shared" si="0"/>
        <v>19315143.969999999</v>
      </c>
      <c r="N28" s="103">
        <f t="shared" si="1"/>
        <v>51307652.213999994</v>
      </c>
      <c r="O28" s="103">
        <f t="shared" si="2"/>
        <v>50873.19</v>
      </c>
      <c r="P28" s="103">
        <f t="shared" si="3"/>
        <v>15761607.039999997</v>
      </c>
      <c r="Q28" s="103">
        <f t="shared" si="12"/>
        <v>19366017.16</v>
      </c>
      <c r="R28" s="103">
        <f t="shared" si="13"/>
        <v>67069259.253999993</v>
      </c>
      <c r="S28" s="74"/>
      <c r="T28" s="74"/>
      <c r="U28" s="72">
        <f>U27+1</f>
        <v>2</v>
      </c>
      <c r="V28" s="76">
        <f t="shared" si="14"/>
        <v>-5.1513627131557382E-2</v>
      </c>
      <c r="W28" s="76">
        <f t="shared" si="14"/>
        <v>0.15520116119525129</v>
      </c>
    </row>
    <row r="29" spans="1:31" x14ac:dyDescent="0.35">
      <c r="A29" s="173"/>
      <c r="B29" s="101">
        <v>3</v>
      </c>
      <c r="C29" s="124">
        <v>10178437.305999998</v>
      </c>
      <c r="D29" s="124">
        <v>7859913.8940000013</v>
      </c>
      <c r="E29" s="124">
        <v>52642167.294</v>
      </c>
      <c r="F29" s="124">
        <v>568561.66800000018</v>
      </c>
      <c r="G29" s="124">
        <v>35154.229999999996</v>
      </c>
      <c r="H29" s="124">
        <v>36399.129999999997</v>
      </c>
      <c r="I29" s="124">
        <v>11521270.629999999</v>
      </c>
      <c r="J29" s="124">
        <v>5016787.17</v>
      </c>
      <c r="L29" s="102">
        <f t="shared" si="15"/>
        <v>3</v>
      </c>
      <c r="M29" s="103">
        <f t="shared" si="0"/>
        <v>18038351.199999999</v>
      </c>
      <c r="N29" s="103">
        <f t="shared" si="1"/>
        <v>53210728.961999997</v>
      </c>
      <c r="O29" s="103">
        <f t="shared" si="2"/>
        <v>71553.359999999986</v>
      </c>
      <c r="P29" s="103">
        <f t="shared" si="3"/>
        <v>16538057.799999999</v>
      </c>
      <c r="Q29" s="103">
        <f t="shared" ref="Q29" si="16">M29+O29</f>
        <v>18109904.559999999</v>
      </c>
      <c r="R29" s="103">
        <f t="shared" ref="R29" si="17">N29+P29</f>
        <v>69748786.761999995</v>
      </c>
      <c r="S29" s="74"/>
      <c r="T29" s="74"/>
      <c r="U29" s="72">
        <f>U28+1</f>
        <v>3</v>
      </c>
      <c r="V29" s="76">
        <f t="shared" si="14"/>
        <v>-4.9987452397910803E-2</v>
      </c>
      <c r="W29" s="76">
        <f t="shared" si="14"/>
        <v>8.1893815224366673E-2</v>
      </c>
    </row>
    <row r="30" spans="1:31" x14ac:dyDescent="0.35">
      <c r="A30" s="173"/>
      <c r="B30" s="101">
        <v>4</v>
      </c>
      <c r="C30" s="124">
        <v>11535715.514000002</v>
      </c>
      <c r="D30" s="124">
        <v>9005058.4740000013</v>
      </c>
      <c r="E30" s="124">
        <v>53316629.791999996</v>
      </c>
      <c r="F30" s="124">
        <v>843690.44500000018</v>
      </c>
      <c r="G30" s="124">
        <v>22379.78</v>
      </c>
      <c r="H30" s="124">
        <v>26866.62</v>
      </c>
      <c r="I30" s="124">
        <v>11183570.16</v>
      </c>
      <c r="J30" s="124">
        <v>9463791.870000001</v>
      </c>
      <c r="L30" s="102">
        <f t="shared" si="15"/>
        <v>4</v>
      </c>
      <c r="M30" s="103">
        <f t="shared" si="0"/>
        <v>20540773.988000005</v>
      </c>
      <c r="N30" s="103">
        <f t="shared" si="1"/>
        <v>54160320.236999996</v>
      </c>
      <c r="O30" s="103">
        <f t="shared" si="2"/>
        <v>49246.399999999994</v>
      </c>
      <c r="P30" s="103">
        <f t="shared" si="3"/>
        <v>20647362.030000001</v>
      </c>
      <c r="Q30" s="103">
        <f t="shared" ref="Q30" si="18">M30+O30</f>
        <v>20590020.388000004</v>
      </c>
      <c r="R30" s="103">
        <f t="shared" ref="R30" si="19">N30+P30</f>
        <v>74807682.26699999</v>
      </c>
      <c r="S30" s="74"/>
      <c r="T30" s="74"/>
      <c r="U30" s="72">
        <f t="shared" ref="U30:U38" si="20">U29+1</f>
        <v>4</v>
      </c>
      <c r="V30" s="76">
        <f t="shared" si="14"/>
        <v>0.25474844135028785</v>
      </c>
      <c r="W30" s="76">
        <f t="shared" si="14"/>
        <v>0.22781985084855205</v>
      </c>
    </row>
    <row r="31" spans="1:31" x14ac:dyDescent="0.35">
      <c r="A31" s="173"/>
      <c r="B31" s="101">
        <v>5</v>
      </c>
      <c r="C31" s="124">
        <v>13921024.320999997</v>
      </c>
      <c r="D31" s="124">
        <v>11800758.398999998</v>
      </c>
      <c r="E31" s="124">
        <v>58472205.107999995</v>
      </c>
      <c r="F31" s="124">
        <v>781226.21699999948</v>
      </c>
      <c r="G31" s="124">
        <v>26532.53</v>
      </c>
      <c r="H31" s="124">
        <v>43971.17</v>
      </c>
      <c r="I31" s="124">
        <v>11047239.92</v>
      </c>
      <c r="J31" s="124">
        <v>7907189.0300000003</v>
      </c>
      <c r="L31" s="102">
        <f t="shared" si="15"/>
        <v>5</v>
      </c>
      <c r="M31" s="103">
        <f t="shared" si="0"/>
        <v>25721782.719999995</v>
      </c>
      <c r="N31" s="103">
        <f t="shared" si="1"/>
        <v>59253431.324999996</v>
      </c>
      <c r="O31" s="103">
        <f t="shared" si="2"/>
        <v>70503.7</v>
      </c>
      <c r="P31" s="103">
        <f t="shared" si="3"/>
        <v>18954428.949999999</v>
      </c>
      <c r="Q31" s="103">
        <f t="shared" ref="Q31" si="21">M31+O31</f>
        <v>25792286.419999994</v>
      </c>
      <c r="R31" s="103">
        <f t="shared" ref="R31" si="22">N31+P31</f>
        <v>78207860.274999991</v>
      </c>
      <c r="S31" s="74"/>
      <c r="T31" s="74"/>
      <c r="U31" s="72">
        <f t="shared" si="20"/>
        <v>5</v>
      </c>
      <c r="V31" s="76">
        <f t="shared" ref="V31" si="23">(Q31/Q19)-1</f>
        <v>8.2495162957844537E-2</v>
      </c>
      <c r="W31" s="76">
        <f t="shared" ref="W31" si="24">(R31/R19)-1</f>
        <v>2.8827945182297032E-2</v>
      </c>
      <c r="X31" s="72" t="s">
        <v>111</v>
      </c>
    </row>
    <row r="32" spans="1:31" x14ac:dyDescent="0.35">
      <c r="A32" s="173"/>
      <c r="B32" s="101">
        <v>6</v>
      </c>
      <c r="C32" s="124">
        <v>15331905.545000002</v>
      </c>
      <c r="D32" s="124">
        <v>12870353.909999996</v>
      </c>
      <c r="E32" s="124">
        <v>58275563.24399998</v>
      </c>
      <c r="F32" s="124">
        <v>787827.24500000023</v>
      </c>
      <c r="G32" s="124">
        <v>19562.96</v>
      </c>
      <c r="H32" s="124">
        <v>57857.56</v>
      </c>
      <c r="I32" s="124">
        <v>10871033.250000004</v>
      </c>
      <c r="J32" s="124">
        <v>8007487.8300000001</v>
      </c>
      <c r="L32" s="102">
        <f t="shared" si="15"/>
        <v>6</v>
      </c>
      <c r="M32" s="103">
        <f t="shared" si="0"/>
        <v>28202259.454999998</v>
      </c>
      <c r="N32" s="103">
        <f t="shared" si="1"/>
        <v>59063390.488999978</v>
      </c>
      <c r="O32" s="103">
        <f t="shared" si="2"/>
        <v>77420.51999999999</v>
      </c>
      <c r="P32" s="103">
        <f t="shared" si="3"/>
        <v>18878521.080000006</v>
      </c>
      <c r="Q32" s="103">
        <f t="shared" ref="Q32" si="25">M32+O32</f>
        <v>28279679.974999998</v>
      </c>
      <c r="R32" s="103">
        <f t="shared" ref="R32" si="26">N32+P32</f>
        <v>77941911.568999976</v>
      </c>
      <c r="S32" s="137"/>
      <c r="T32" s="137"/>
      <c r="U32" s="72">
        <f t="shared" si="20"/>
        <v>6</v>
      </c>
      <c r="V32" s="76">
        <f t="shared" ref="V32" si="27">(Q32/Q20)-1</f>
        <v>4.7420516328647855E-2</v>
      </c>
      <c r="W32" s="76">
        <f t="shared" ref="W32" si="28">(R32/R20)-1</f>
        <v>0.10597099557410239</v>
      </c>
    </row>
    <row r="33" spans="1:28" x14ac:dyDescent="0.35">
      <c r="A33" s="173"/>
      <c r="B33" s="101">
        <v>7</v>
      </c>
      <c r="C33" s="124">
        <v>16471826.938000003</v>
      </c>
      <c r="D33" s="124">
        <v>12848350.944999997</v>
      </c>
      <c r="E33" s="124">
        <v>64064050.788999997</v>
      </c>
      <c r="F33" s="124">
        <v>1018048.1549999997</v>
      </c>
      <c r="G33" s="124">
        <v>26889.57</v>
      </c>
      <c r="H33" s="124">
        <v>79982.3</v>
      </c>
      <c r="I33" s="124">
        <v>11217208.779999999</v>
      </c>
      <c r="J33" s="124">
        <v>12169494.5</v>
      </c>
      <c r="L33" s="102">
        <f t="shared" si="15"/>
        <v>7</v>
      </c>
      <c r="M33" s="103">
        <f t="shared" si="0"/>
        <v>29320177.883000001</v>
      </c>
      <c r="N33" s="103">
        <f t="shared" si="1"/>
        <v>65082098.943999998</v>
      </c>
      <c r="O33" s="103">
        <f t="shared" si="2"/>
        <v>106871.87</v>
      </c>
      <c r="P33" s="103">
        <f t="shared" si="3"/>
        <v>23386703.280000001</v>
      </c>
      <c r="Q33" s="103">
        <f t="shared" ref="Q33" si="29">M33+O33</f>
        <v>29427049.753000002</v>
      </c>
      <c r="R33" s="103">
        <f t="shared" ref="R33" si="30">N33+P33</f>
        <v>88468802.224000007</v>
      </c>
      <c r="S33" s="137"/>
      <c r="T33" s="137"/>
      <c r="U33" s="72">
        <f t="shared" si="20"/>
        <v>7</v>
      </c>
      <c r="V33" s="76">
        <f t="shared" ref="V33:V35" si="31">(Q33/Q21)-1</f>
        <v>1.9217986324681968E-2</v>
      </c>
      <c r="W33" s="76">
        <f t="shared" ref="W33:W35" si="32">(R33/R21)-1</f>
        <v>0.11734295770304914</v>
      </c>
    </row>
    <row r="34" spans="1:28" x14ac:dyDescent="0.35">
      <c r="A34" s="173"/>
      <c r="B34" s="101">
        <v>8</v>
      </c>
      <c r="C34" s="124">
        <v>14968826.715</v>
      </c>
      <c r="D34" s="124">
        <v>11571787.682</v>
      </c>
      <c r="E34" s="124">
        <v>62863471.406000018</v>
      </c>
      <c r="F34" s="124">
        <v>942671.38100000005</v>
      </c>
      <c r="G34" s="124">
        <v>20135.37</v>
      </c>
      <c r="H34" s="124">
        <v>47786.41</v>
      </c>
      <c r="I34" s="124">
        <v>11122211.640000002</v>
      </c>
      <c r="J34" s="124">
        <v>12511616.84</v>
      </c>
      <c r="L34" s="102">
        <f t="shared" si="15"/>
        <v>8</v>
      </c>
      <c r="M34" s="103">
        <f t="shared" si="0"/>
        <v>26540614.397</v>
      </c>
      <c r="N34" s="103">
        <f t="shared" si="1"/>
        <v>63806142.787000015</v>
      </c>
      <c r="O34" s="103">
        <f t="shared" si="2"/>
        <v>67921.78</v>
      </c>
      <c r="P34" s="103">
        <f t="shared" si="3"/>
        <v>23633828.480000004</v>
      </c>
      <c r="Q34" s="103">
        <f t="shared" ref="Q34:Q35" si="33">M34+O34</f>
        <v>26608536.177000001</v>
      </c>
      <c r="R34" s="103">
        <f t="shared" ref="R34:R35" si="34">N34+P34</f>
        <v>87439971.26700002</v>
      </c>
      <c r="S34" s="100"/>
      <c r="T34" s="100"/>
      <c r="U34" s="72">
        <f t="shared" si="20"/>
        <v>8</v>
      </c>
      <c r="V34" s="76">
        <f t="shared" si="31"/>
        <v>-7.0962972553083925E-2</v>
      </c>
      <c r="W34" s="76">
        <f t="shared" si="32"/>
        <v>9.6195863918997482E-3</v>
      </c>
      <c r="X34" s="72" t="s">
        <v>112</v>
      </c>
    </row>
    <row r="35" spans="1:28" x14ac:dyDescent="0.35">
      <c r="A35" s="173"/>
      <c r="B35" s="101">
        <v>9</v>
      </c>
      <c r="C35" s="124">
        <v>13608950.012000002</v>
      </c>
      <c r="D35" s="124">
        <v>10683724.780999999</v>
      </c>
      <c r="E35" s="124">
        <v>61914270.378999993</v>
      </c>
      <c r="F35" s="124">
        <v>827066.34400000027</v>
      </c>
      <c r="G35" s="124">
        <v>11675.71</v>
      </c>
      <c r="H35" s="124">
        <v>41968.39</v>
      </c>
      <c r="I35" s="124">
        <v>11469018.67</v>
      </c>
      <c r="J35" s="124">
        <v>10118837.199999999</v>
      </c>
      <c r="L35" s="102">
        <f t="shared" si="15"/>
        <v>9</v>
      </c>
      <c r="M35" s="103">
        <f t="shared" si="0"/>
        <v>24292674.793000001</v>
      </c>
      <c r="N35" s="103">
        <f t="shared" si="1"/>
        <v>62741336.72299999</v>
      </c>
      <c r="O35" s="103">
        <f t="shared" si="2"/>
        <v>53644.1</v>
      </c>
      <c r="P35" s="103">
        <f t="shared" si="3"/>
        <v>21587855.869999997</v>
      </c>
      <c r="Q35" s="103">
        <f t="shared" si="33"/>
        <v>24346318.893000003</v>
      </c>
      <c r="R35" s="103">
        <f t="shared" si="34"/>
        <v>84329192.592999995</v>
      </c>
      <c r="S35" s="100"/>
      <c r="T35" s="100"/>
      <c r="U35" s="72">
        <f t="shared" si="20"/>
        <v>9</v>
      </c>
      <c r="V35" s="76">
        <f t="shared" si="31"/>
        <v>-1.9737792898610995E-2</v>
      </c>
      <c r="W35" s="76">
        <f t="shared" si="32"/>
        <v>2.257465898494404E-2</v>
      </c>
    </row>
    <row r="36" spans="1:28" x14ac:dyDescent="0.35">
      <c r="A36" s="173"/>
      <c r="B36" s="101">
        <v>10</v>
      </c>
      <c r="C36" s="124">
        <v>13251613.228000002</v>
      </c>
      <c r="D36" s="124">
        <v>9759605.8150000013</v>
      </c>
      <c r="E36" s="124">
        <v>59581934.273999982</v>
      </c>
      <c r="F36" s="124">
        <v>648120.91799999995</v>
      </c>
      <c r="G36" s="124">
        <v>5800</v>
      </c>
      <c r="H36" s="124">
        <v>32279.14</v>
      </c>
      <c r="I36" s="124">
        <v>10898043.49</v>
      </c>
      <c r="J36" s="124">
        <v>6081592.8100000005</v>
      </c>
      <c r="L36" s="102">
        <f t="shared" si="15"/>
        <v>10</v>
      </c>
      <c r="M36" s="103">
        <f t="shared" ref="M36:M58" si="35">C36+D36</f>
        <v>23011219.043000005</v>
      </c>
      <c r="N36" s="103">
        <f t="shared" ref="N36:N58" si="36">E36+F36</f>
        <v>60230055.191999979</v>
      </c>
      <c r="O36" s="103">
        <f t="shared" ref="O36:O58" si="37">G36+H36</f>
        <v>38079.14</v>
      </c>
      <c r="P36" s="103">
        <f t="shared" ref="P36:P58" si="38">I36+J36</f>
        <v>16979636.300000001</v>
      </c>
      <c r="Q36" s="103">
        <f t="shared" ref="Q36:Q38" si="39">M36+O36</f>
        <v>23049298.183000006</v>
      </c>
      <c r="R36" s="103">
        <f t="shared" ref="R36:R38" si="40">N36+P36</f>
        <v>77209691.491999984</v>
      </c>
      <c r="S36" s="100"/>
      <c r="U36" s="72">
        <f t="shared" si="20"/>
        <v>10</v>
      </c>
      <c r="V36" s="76">
        <f t="shared" ref="V36:V38" si="41">(Q36/Q24)-1</f>
        <v>-4.1195018451242182E-2</v>
      </c>
      <c r="W36" s="76">
        <f t="shared" ref="W36:W38" si="42">(R36/R24)-1</f>
        <v>4.5933683890679866E-3</v>
      </c>
    </row>
    <row r="37" spans="1:28" x14ac:dyDescent="0.35">
      <c r="A37" s="173"/>
      <c r="B37" s="101">
        <v>11</v>
      </c>
      <c r="C37" s="124">
        <v>12307626.299000001</v>
      </c>
      <c r="D37" s="124">
        <v>8843378.3620000016</v>
      </c>
      <c r="E37" s="124">
        <v>58935673.376000009</v>
      </c>
      <c r="F37" s="124">
        <v>550552.01800000004</v>
      </c>
      <c r="G37" s="124">
        <v>18704</v>
      </c>
      <c r="H37" s="124">
        <v>40024.31</v>
      </c>
      <c r="I37" s="124">
        <v>11896394.443999998</v>
      </c>
      <c r="J37" s="124">
        <v>5136750.99</v>
      </c>
      <c r="L37" s="102">
        <f t="shared" si="15"/>
        <v>11</v>
      </c>
      <c r="M37" s="103">
        <f t="shared" si="35"/>
        <v>21151004.661000002</v>
      </c>
      <c r="N37" s="103">
        <f t="shared" si="36"/>
        <v>59486225.394000009</v>
      </c>
      <c r="O37" s="103">
        <f t="shared" si="37"/>
        <v>58728.31</v>
      </c>
      <c r="P37" s="103">
        <f t="shared" si="38"/>
        <v>17033145.434</v>
      </c>
      <c r="Q37" s="103">
        <f t="shared" si="39"/>
        <v>21209732.971000001</v>
      </c>
      <c r="R37" s="103">
        <f t="shared" si="40"/>
        <v>76519370.828000009</v>
      </c>
      <c r="S37" s="100"/>
      <c r="T37" s="128"/>
      <c r="U37" s="72">
        <f t="shared" si="20"/>
        <v>11</v>
      </c>
      <c r="V37" s="76">
        <f t="shared" si="41"/>
        <v>-2.2527348761861465E-2</v>
      </c>
      <c r="W37" s="76">
        <f t="shared" si="42"/>
        <v>6.3775903598999539E-2</v>
      </c>
    </row>
    <row r="38" spans="1:28" x14ac:dyDescent="0.35">
      <c r="A38" s="173"/>
      <c r="B38" s="101">
        <v>12</v>
      </c>
      <c r="C38" s="124">
        <v>13244256.491000004</v>
      </c>
      <c r="D38" s="124">
        <v>9937804.3440000024</v>
      </c>
      <c r="E38" s="124">
        <v>59612359.241000026</v>
      </c>
      <c r="F38" s="124">
        <v>616813.93599999987</v>
      </c>
      <c r="G38" s="124">
        <v>13311.19</v>
      </c>
      <c r="H38" s="124">
        <v>38349.360000000001</v>
      </c>
      <c r="I38" s="124">
        <v>12618245.970000003</v>
      </c>
      <c r="J38" s="124">
        <v>4849694.7299999995</v>
      </c>
      <c r="L38" s="102">
        <f t="shared" si="15"/>
        <v>12</v>
      </c>
      <c r="M38" s="103">
        <f t="shared" si="35"/>
        <v>23182060.835000008</v>
      </c>
      <c r="N38" s="103">
        <f t="shared" si="36"/>
        <v>60229173.177000023</v>
      </c>
      <c r="O38" s="103">
        <f t="shared" si="37"/>
        <v>51660.55</v>
      </c>
      <c r="P38" s="103">
        <f t="shared" si="38"/>
        <v>17467940.700000003</v>
      </c>
      <c r="Q38" s="103">
        <f t="shared" si="39"/>
        <v>23233721.385000009</v>
      </c>
      <c r="R38" s="103">
        <f t="shared" si="40"/>
        <v>77697113.877000034</v>
      </c>
      <c r="S38" s="74">
        <f>SUM(Q27:Q38)/365</f>
        <v>766106.35882465739</v>
      </c>
      <c r="T38" s="74">
        <f>SUM(R27:R38)/365</f>
        <v>2543039.5122849313</v>
      </c>
      <c r="U38" s="72">
        <f t="shared" si="20"/>
        <v>12</v>
      </c>
      <c r="V38" s="77">
        <f t="shared" si="41"/>
        <v>9.6020168453809562E-2</v>
      </c>
      <c r="W38" s="77">
        <f t="shared" si="42"/>
        <v>0.12001212819955231</v>
      </c>
      <c r="AB38" s="125"/>
    </row>
    <row r="39" spans="1:28" x14ac:dyDescent="0.35">
      <c r="A39" s="167">
        <v>2022</v>
      </c>
      <c r="B39" s="27">
        <v>1</v>
      </c>
      <c r="C39" s="27">
        <v>11215137.811999999</v>
      </c>
      <c r="D39" s="27">
        <v>8111459.214999998</v>
      </c>
      <c r="E39" s="27">
        <v>54474658.584000006</v>
      </c>
      <c r="F39" s="27">
        <v>558175.17000000039</v>
      </c>
      <c r="G39" s="27">
        <v>24300</v>
      </c>
      <c r="H39" s="27">
        <v>39283.61</v>
      </c>
      <c r="I39" s="27">
        <v>14186496.619999999</v>
      </c>
      <c r="J39" s="27">
        <v>3979710.4299999997</v>
      </c>
      <c r="L39" s="72">
        <v>1</v>
      </c>
      <c r="M39" s="74">
        <f t="shared" si="35"/>
        <v>19326597.026999995</v>
      </c>
      <c r="N39" s="74">
        <f t="shared" si="36"/>
        <v>55032833.754000008</v>
      </c>
      <c r="O39" s="74">
        <f t="shared" si="37"/>
        <v>63583.61</v>
      </c>
      <c r="P39" s="74">
        <f t="shared" si="38"/>
        <v>18166207.049999997</v>
      </c>
      <c r="Q39" s="74">
        <f t="shared" ref="Q39" si="43">M39+O39</f>
        <v>19390180.636999995</v>
      </c>
      <c r="R39" s="74">
        <f>N39+P39</f>
        <v>73199040.804000005</v>
      </c>
      <c r="T39" s="129"/>
      <c r="U39" s="78" t="s">
        <v>89</v>
      </c>
      <c r="V39" s="123">
        <f>(SUM(Q27:Q38)/SUM(Q15:Q26))-1</f>
        <v>1.2097609659229347E-2</v>
      </c>
      <c r="W39" s="123">
        <f>(SUM(R27:R38)/SUM(R15:R26))-1</f>
        <v>8.6011234662308977E-2</v>
      </c>
      <c r="AB39" s="74"/>
    </row>
    <row r="40" spans="1:28" x14ac:dyDescent="0.35">
      <c r="A40" s="167"/>
      <c r="B40" s="27">
        <v>2</v>
      </c>
      <c r="C40" s="27">
        <v>10446478.523999998</v>
      </c>
      <c r="D40" s="27">
        <v>7656495.9130000006</v>
      </c>
      <c r="E40" s="27">
        <v>50413163.586000025</v>
      </c>
      <c r="F40" s="27">
        <v>597602.39499999979</v>
      </c>
      <c r="G40" s="27">
        <v>10706</v>
      </c>
      <c r="H40" s="27">
        <v>41020.71</v>
      </c>
      <c r="I40" s="27">
        <v>10231013.030000001</v>
      </c>
      <c r="J40" s="27">
        <v>4758287.16</v>
      </c>
      <c r="L40" s="72">
        <f>L39+1</f>
        <v>2</v>
      </c>
      <c r="M40" s="74">
        <f t="shared" si="35"/>
        <v>18102974.436999999</v>
      </c>
      <c r="N40" s="74">
        <f t="shared" si="36"/>
        <v>51010765.981000029</v>
      </c>
      <c r="O40" s="74">
        <f t="shared" si="37"/>
        <v>51726.71</v>
      </c>
      <c r="P40" s="74">
        <f t="shared" si="38"/>
        <v>14989300.190000001</v>
      </c>
      <c r="Q40" s="74">
        <f>M40+O40</f>
        <v>18154701.147</v>
      </c>
      <c r="R40" s="74">
        <f>N40+P40</f>
        <v>66000066.171000034</v>
      </c>
      <c r="AB40" s="74"/>
    </row>
    <row r="41" spans="1:28" x14ac:dyDescent="0.35">
      <c r="A41" s="167"/>
      <c r="B41" s="27">
        <v>3</v>
      </c>
      <c r="C41" s="27">
        <v>12299626.771000002</v>
      </c>
      <c r="D41" s="27">
        <v>8228424.6319999993</v>
      </c>
      <c r="E41" s="27">
        <v>57177057.635999992</v>
      </c>
      <c r="F41" s="27">
        <v>880495.35900000017</v>
      </c>
      <c r="G41" s="27">
        <v>23803</v>
      </c>
      <c r="H41" s="27">
        <v>69089.41</v>
      </c>
      <c r="I41" s="27">
        <v>13183544.65</v>
      </c>
      <c r="J41" s="27">
        <v>11468932.1</v>
      </c>
      <c r="L41" s="72">
        <f t="shared" ref="L41:L50" si="44">L40+1</f>
        <v>3</v>
      </c>
      <c r="M41" s="74">
        <f t="shared" si="35"/>
        <v>20528051.403000001</v>
      </c>
      <c r="N41" s="74">
        <f t="shared" si="36"/>
        <v>58057552.99499999</v>
      </c>
      <c r="O41" s="74">
        <f t="shared" si="37"/>
        <v>92892.41</v>
      </c>
      <c r="P41" s="74">
        <f t="shared" si="38"/>
        <v>24652476.75</v>
      </c>
      <c r="Q41" s="74">
        <f t="shared" ref="Q41:Q45" si="45">M41+O41</f>
        <v>20620943.813000001</v>
      </c>
      <c r="R41" s="74">
        <f>N41+P41</f>
        <v>82710029.74499999</v>
      </c>
      <c r="U41" s="78" t="s">
        <v>41</v>
      </c>
      <c r="V41" s="168">
        <f>(SUM(Q27:R38)/SUM(Q15:R26))-1</f>
        <v>6.7954958237679941E-2</v>
      </c>
      <c r="W41" s="168"/>
    </row>
    <row r="42" spans="1:28" x14ac:dyDescent="0.35">
      <c r="A42" s="167"/>
      <c r="B42" s="27">
        <v>4</v>
      </c>
      <c r="C42" s="27">
        <v>13100639.890999999</v>
      </c>
      <c r="D42" s="27">
        <v>8255791.9449999984</v>
      </c>
      <c r="E42" s="27">
        <v>54916178.866999991</v>
      </c>
      <c r="F42" s="27">
        <v>543961.32300000009</v>
      </c>
      <c r="G42" s="27">
        <v>16999</v>
      </c>
      <c r="H42" s="27">
        <v>34755.129999999997</v>
      </c>
      <c r="I42" s="27">
        <v>9259911.3099999987</v>
      </c>
      <c r="J42" s="27">
        <v>5236062.2</v>
      </c>
      <c r="L42" s="72">
        <f t="shared" si="44"/>
        <v>4</v>
      </c>
      <c r="M42" s="74">
        <f t="shared" si="35"/>
        <v>21356431.835999995</v>
      </c>
      <c r="N42" s="74">
        <f t="shared" si="36"/>
        <v>55460140.18999999</v>
      </c>
      <c r="O42" s="74">
        <f t="shared" si="37"/>
        <v>51754.13</v>
      </c>
      <c r="P42" s="74">
        <f t="shared" si="38"/>
        <v>14495973.509999998</v>
      </c>
      <c r="Q42" s="74">
        <f t="shared" si="45"/>
        <v>21408185.965999994</v>
      </c>
      <c r="R42" s="74">
        <f t="shared" ref="R42:R45" si="46">N42+P42</f>
        <v>69956113.699999988</v>
      </c>
    </row>
    <row r="43" spans="1:28" x14ac:dyDescent="0.35">
      <c r="A43" s="167"/>
      <c r="B43" s="27">
        <v>5</v>
      </c>
      <c r="C43" s="27">
        <v>14942163.168999998</v>
      </c>
      <c r="D43" s="27">
        <v>9233690.5150000025</v>
      </c>
      <c r="E43" s="27">
        <v>61202486.721999995</v>
      </c>
      <c r="F43" s="27">
        <v>718653.14599999995</v>
      </c>
      <c r="G43" s="27">
        <v>31607</v>
      </c>
      <c r="H43" s="27">
        <v>51880.46</v>
      </c>
      <c r="I43" s="27">
        <v>11011506.119999999</v>
      </c>
      <c r="J43" s="27">
        <v>6790087.0199999996</v>
      </c>
      <c r="L43" s="72">
        <f t="shared" si="44"/>
        <v>5</v>
      </c>
      <c r="M43" s="74">
        <f t="shared" si="35"/>
        <v>24175853.684</v>
      </c>
      <c r="N43" s="74">
        <f t="shared" si="36"/>
        <v>61921139.867999993</v>
      </c>
      <c r="O43" s="74">
        <f t="shared" si="37"/>
        <v>83487.459999999992</v>
      </c>
      <c r="P43" s="74">
        <f t="shared" si="38"/>
        <v>17801593.140000001</v>
      </c>
      <c r="Q43" s="74">
        <f t="shared" si="45"/>
        <v>24259341.144000001</v>
      </c>
      <c r="R43" s="74">
        <f t="shared" si="46"/>
        <v>79722733.007999986</v>
      </c>
      <c r="V43" s="169" t="s">
        <v>105</v>
      </c>
      <c r="W43" s="169"/>
    </row>
    <row r="44" spans="1:28" x14ac:dyDescent="0.35">
      <c r="A44" s="167"/>
      <c r="B44" s="27">
        <v>6</v>
      </c>
      <c r="C44" s="27">
        <v>15938059.859999999</v>
      </c>
      <c r="D44" s="27">
        <v>9556810.834999999</v>
      </c>
      <c r="E44" s="27">
        <v>56436888.399999991</v>
      </c>
      <c r="F44" s="27">
        <v>716318.76600000029</v>
      </c>
      <c r="G44" s="27">
        <v>15400</v>
      </c>
      <c r="H44" s="27">
        <v>62713.68</v>
      </c>
      <c r="I44" s="27">
        <v>9527495.9399999995</v>
      </c>
      <c r="J44" s="27">
        <v>7862589.8099999996</v>
      </c>
      <c r="L44" s="72">
        <f t="shared" si="44"/>
        <v>6</v>
      </c>
      <c r="M44" s="74">
        <f t="shared" si="35"/>
        <v>25494870.695</v>
      </c>
      <c r="N44" s="74">
        <f t="shared" si="36"/>
        <v>57153207.165999994</v>
      </c>
      <c r="O44" s="74">
        <f t="shared" si="37"/>
        <v>78113.679999999993</v>
      </c>
      <c r="P44" s="74">
        <f t="shared" si="38"/>
        <v>17390085.75</v>
      </c>
      <c r="Q44" s="74">
        <f t="shared" si="45"/>
        <v>25572984.375</v>
      </c>
      <c r="R44" s="74">
        <f t="shared" si="46"/>
        <v>74543292.915999994</v>
      </c>
      <c r="V44" s="169" t="s">
        <v>155</v>
      </c>
      <c r="W44" s="169"/>
    </row>
    <row r="45" spans="1:28" x14ac:dyDescent="0.35">
      <c r="A45" s="167"/>
      <c r="B45" s="27">
        <v>7</v>
      </c>
      <c r="C45" s="27">
        <v>16922118.932999998</v>
      </c>
      <c r="D45" s="27">
        <v>10001453.442</v>
      </c>
      <c r="E45" s="27">
        <v>59708715.508000009</v>
      </c>
      <c r="F45" s="27">
        <v>807580.50900000031</v>
      </c>
      <c r="G45" s="27">
        <v>25219.16</v>
      </c>
      <c r="H45" s="27">
        <v>71966.63</v>
      </c>
      <c r="I45" s="27">
        <v>9797682.9000000004</v>
      </c>
      <c r="J45" s="27">
        <v>8556708.1699999999</v>
      </c>
      <c r="L45" s="72">
        <f t="shared" si="44"/>
        <v>7</v>
      </c>
      <c r="M45" s="74">
        <f t="shared" si="35"/>
        <v>26923572.375</v>
      </c>
      <c r="N45" s="74">
        <f t="shared" si="36"/>
        <v>60516296.017000012</v>
      </c>
      <c r="O45" s="74">
        <f t="shared" si="37"/>
        <v>97185.790000000008</v>
      </c>
      <c r="P45" s="74">
        <f t="shared" si="38"/>
        <v>18354391.07</v>
      </c>
      <c r="Q45" s="74">
        <f t="shared" si="45"/>
        <v>27020758.164999999</v>
      </c>
      <c r="R45" s="74">
        <f t="shared" si="46"/>
        <v>78870687.087000012</v>
      </c>
      <c r="V45" s="75" t="str">
        <f>V26</f>
        <v>Bensiin</v>
      </c>
      <c r="W45" s="75" t="str">
        <f>W26</f>
        <v>Diisel</v>
      </c>
    </row>
    <row r="46" spans="1:28" x14ac:dyDescent="0.35">
      <c r="A46" s="167"/>
      <c r="B46" s="27">
        <v>8</v>
      </c>
      <c r="C46" s="27">
        <v>16169781.199000001</v>
      </c>
      <c r="D46" s="27">
        <v>10248375.149999999</v>
      </c>
      <c r="E46" s="27">
        <v>64027528.282000005</v>
      </c>
      <c r="F46" s="27">
        <v>1050230.0090000001</v>
      </c>
      <c r="G46" s="27">
        <v>24165.61</v>
      </c>
      <c r="H46" s="27">
        <v>57894.400000000001</v>
      </c>
      <c r="I46" s="27">
        <v>11126547.379999999</v>
      </c>
      <c r="J46" s="27">
        <v>16139943.16</v>
      </c>
      <c r="L46" s="72">
        <f t="shared" si="44"/>
        <v>8</v>
      </c>
      <c r="M46" s="74">
        <f t="shared" si="35"/>
        <v>26418156.348999999</v>
      </c>
      <c r="N46" s="74">
        <f t="shared" si="36"/>
        <v>65077758.291000009</v>
      </c>
      <c r="O46" s="74">
        <f t="shared" si="37"/>
        <v>82060.010000000009</v>
      </c>
      <c r="P46" s="74">
        <f t="shared" si="38"/>
        <v>27266490.539999999</v>
      </c>
      <c r="Q46" s="74">
        <f>(M46+O46)</f>
        <v>26500216.359000001</v>
      </c>
      <c r="R46" s="74">
        <f>(N46+P46)</f>
        <v>92344248.831</v>
      </c>
      <c r="U46" s="72">
        <v>1</v>
      </c>
      <c r="V46" s="76">
        <f>(Q39/Q27)-1</f>
        <v>-1.1524853636862509E-2</v>
      </c>
      <c r="W46" s="76">
        <f>(R39/R27)-1</f>
        <v>6.4407087754368542E-2</v>
      </c>
    </row>
    <row r="47" spans="1:28" x14ac:dyDescent="0.35">
      <c r="A47" s="167"/>
      <c r="B47" s="27">
        <v>9</v>
      </c>
      <c r="C47" s="27">
        <v>14033824.080999997</v>
      </c>
      <c r="D47" s="27">
        <v>8791577.7740000002</v>
      </c>
      <c r="E47" s="27">
        <v>59844277.247999996</v>
      </c>
      <c r="F47" s="27">
        <v>867272.15099999984</v>
      </c>
      <c r="G47" s="27">
        <v>18510.810000000001</v>
      </c>
      <c r="H47" s="27">
        <v>43503.37</v>
      </c>
      <c r="I47" s="27">
        <v>10343065.07</v>
      </c>
      <c r="J47" s="27">
        <v>10471101.859999999</v>
      </c>
      <c r="L47" s="72">
        <f t="shared" si="44"/>
        <v>9</v>
      </c>
      <c r="M47" s="74">
        <f t="shared" si="35"/>
        <v>22825401.854999997</v>
      </c>
      <c r="N47" s="74">
        <f t="shared" si="36"/>
        <v>60711549.398999996</v>
      </c>
      <c r="O47" s="74">
        <f t="shared" si="37"/>
        <v>62014.180000000008</v>
      </c>
      <c r="P47" s="74">
        <f t="shared" si="38"/>
        <v>20814166.93</v>
      </c>
      <c r="Q47" s="74">
        <f t="shared" ref="Q47:Q48" si="47">(M47+O47)</f>
        <v>22887416.034999996</v>
      </c>
      <c r="R47" s="74">
        <f t="shared" ref="R47:R51" si="48">(N47+P47)</f>
        <v>81525716.328999996</v>
      </c>
      <c r="T47" s="74"/>
      <c r="U47" s="72">
        <f>U46+1</f>
        <v>2</v>
      </c>
      <c r="V47" s="76">
        <f t="shared" ref="V47" si="49">(Q40/Q28)-1</f>
        <v>-6.2548535560628449E-2</v>
      </c>
      <c r="W47" s="76">
        <f>(R40/R28)-1</f>
        <v>-1.5941626534904607E-2</v>
      </c>
      <c r="X47" s="72" t="s">
        <v>156</v>
      </c>
    </row>
    <row r="48" spans="1:28" x14ac:dyDescent="0.35">
      <c r="A48" s="167"/>
      <c r="B48" s="27">
        <v>10</v>
      </c>
      <c r="C48" s="27">
        <v>13627465.554</v>
      </c>
      <c r="D48" s="27">
        <v>8166270.010999999</v>
      </c>
      <c r="E48" s="27">
        <v>59366989.343999982</v>
      </c>
      <c r="F48" s="27">
        <v>652976.0190000002</v>
      </c>
      <c r="G48" s="27">
        <v>16779.419999999998</v>
      </c>
      <c r="H48" s="27">
        <v>37911.919999999998</v>
      </c>
      <c r="I48" s="27">
        <v>9774893.6600000001</v>
      </c>
      <c r="J48" s="27">
        <v>6082156.2400000002</v>
      </c>
      <c r="L48" s="72">
        <f t="shared" si="44"/>
        <v>10</v>
      </c>
      <c r="M48" s="74">
        <f t="shared" si="35"/>
        <v>21793735.564999998</v>
      </c>
      <c r="N48" s="74">
        <f t="shared" si="36"/>
        <v>60019965.362999983</v>
      </c>
      <c r="O48" s="74">
        <f t="shared" si="37"/>
        <v>54691.34</v>
      </c>
      <c r="P48" s="74">
        <f t="shared" si="38"/>
        <v>15857049.9</v>
      </c>
      <c r="Q48" s="74">
        <f t="shared" si="47"/>
        <v>21848426.904999997</v>
      </c>
      <c r="R48" s="74">
        <f t="shared" si="48"/>
        <v>75877015.262999982</v>
      </c>
      <c r="T48" s="74"/>
      <c r="U48" s="72">
        <f>U47+1</f>
        <v>3</v>
      </c>
      <c r="V48" s="76">
        <f>(Q41/Q29)-1</f>
        <v>0.13865557627212599</v>
      </c>
      <c r="W48" s="76">
        <f>(R41/R29)-1</f>
        <v>0.18582750445863594</v>
      </c>
    </row>
    <row r="49" spans="1:23" x14ac:dyDescent="0.35">
      <c r="A49" s="167"/>
      <c r="B49" s="27">
        <v>11</v>
      </c>
      <c r="C49" s="27">
        <v>13463568.502999999</v>
      </c>
      <c r="D49" s="27">
        <v>7593749.5199999996</v>
      </c>
      <c r="E49" s="27">
        <v>59645298.935999997</v>
      </c>
      <c r="F49" s="27">
        <v>577007.02599999984</v>
      </c>
      <c r="G49" s="27">
        <v>11910.57</v>
      </c>
      <c r="H49" s="27">
        <v>47571.51</v>
      </c>
      <c r="I49" s="27">
        <v>11669159.239999998</v>
      </c>
      <c r="J49" s="27">
        <v>6568152.54</v>
      </c>
      <c r="L49" s="72">
        <f t="shared" si="44"/>
        <v>11</v>
      </c>
      <c r="M49" s="74">
        <f t="shared" si="35"/>
        <v>21057318.022999998</v>
      </c>
      <c r="N49" s="74">
        <f t="shared" si="36"/>
        <v>60222305.961999997</v>
      </c>
      <c r="O49" s="74">
        <f t="shared" si="37"/>
        <v>59482.080000000002</v>
      </c>
      <c r="P49" s="74">
        <f t="shared" si="38"/>
        <v>18237311.779999997</v>
      </c>
      <c r="Q49" s="74">
        <f t="shared" ref="Q49:Q58" si="50">(M49+O49)</f>
        <v>21116800.102999996</v>
      </c>
      <c r="R49" s="74">
        <f t="shared" si="48"/>
        <v>78459617.741999999</v>
      </c>
      <c r="U49" s="72">
        <f t="shared" ref="U49:U57" si="51">U48+1</f>
        <v>4</v>
      </c>
      <c r="V49" s="76">
        <f t="shared" ref="V49:W49" si="52">(Q42/Q30)-1</f>
        <v>3.9736025636809114E-2</v>
      </c>
      <c r="W49" s="76">
        <f t="shared" si="52"/>
        <v>-6.4853881579755579E-2</v>
      </c>
    </row>
    <row r="50" spans="1:23" ht="15" thickBot="1" x14ac:dyDescent="0.4">
      <c r="A50" s="167"/>
      <c r="B50" s="27">
        <v>12</v>
      </c>
      <c r="C50" s="27">
        <v>13637655.761</v>
      </c>
      <c r="D50" s="27">
        <v>8014354.3169999998</v>
      </c>
      <c r="E50" s="27">
        <v>58600016.658000007</v>
      </c>
      <c r="F50" s="27">
        <v>773138.61799999978</v>
      </c>
      <c r="G50" s="27">
        <v>34473.440000000002</v>
      </c>
      <c r="H50" s="27">
        <v>45571.89</v>
      </c>
      <c r="I50" s="27">
        <v>14816656.990000004</v>
      </c>
      <c r="J50" s="27">
        <v>6451297.1600000001</v>
      </c>
      <c r="L50" s="72">
        <f t="shared" si="44"/>
        <v>12</v>
      </c>
      <c r="M50" s="74">
        <f t="shared" si="35"/>
        <v>21652010.078000002</v>
      </c>
      <c r="N50" s="74">
        <f t="shared" si="36"/>
        <v>59373155.276000008</v>
      </c>
      <c r="O50" s="74">
        <f t="shared" si="37"/>
        <v>80045.33</v>
      </c>
      <c r="P50" s="74">
        <f t="shared" si="38"/>
        <v>21267954.150000006</v>
      </c>
      <c r="Q50" s="74">
        <f t="shared" si="50"/>
        <v>21732055.408</v>
      </c>
      <c r="R50" s="74">
        <f t="shared" si="48"/>
        <v>80641109.426000014</v>
      </c>
      <c r="S50" s="74">
        <f>SUM(Q39:Q50)/365</f>
        <v>741128.79467671225</v>
      </c>
      <c r="T50" s="74">
        <f>SUM(R39:R50)/365</f>
        <v>2558492.2493753424</v>
      </c>
      <c r="U50" s="72">
        <f t="shared" si="51"/>
        <v>5</v>
      </c>
      <c r="V50" s="76">
        <f t="shared" ref="V50:W50" si="53">(Q43/Q31)-1</f>
        <v>-5.9434252979267077E-2</v>
      </c>
      <c r="W50" s="76">
        <f t="shared" si="53"/>
        <v>1.9369827120615302E-2</v>
      </c>
    </row>
    <row r="51" spans="1:23" x14ac:dyDescent="0.35">
      <c r="A51" s="167">
        <v>2023</v>
      </c>
      <c r="B51" s="27">
        <v>1</v>
      </c>
      <c r="C51" s="27">
        <v>12161580.031000009</v>
      </c>
      <c r="D51" s="27">
        <v>6867968.1900000023</v>
      </c>
      <c r="E51" s="27">
        <v>55732476.388000041</v>
      </c>
      <c r="F51" s="27">
        <v>176159.43199999994</v>
      </c>
      <c r="G51" s="27">
        <v>22251.18</v>
      </c>
      <c r="H51" s="27">
        <v>47961.19</v>
      </c>
      <c r="I51" s="27">
        <v>9375158.589999998</v>
      </c>
      <c r="J51" s="27">
        <v>3613430.61</v>
      </c>
      <c r="L51" s="142">
        <v>1</v>
      </c>
      <c r="M51" s="143">
        <f t="shared" si="35"/>
        <v>19029548.221000012</v>
      </c>
      <c r="N51" s="143">
        <f t="shared" si="36"/>
        <v>55908635.820000038</v>
      </c>
      <c r="O51" s="143">
        <f t="shared" si="37"/>
        <v>70212.37</v>
      </c>
      <c r="P51" s="143">
        <f t="shared" si="38"/>
        <v>12988589.199999997</v>
      </c>
      <c r="Q51" s="143">
        <f t="shared" si="50"/>
        <v>19099760.591000013</v>
      </c>
      <c r="R51" s="143">
        <f t="shared" si="48"/>
        <v>68897225.020000041</v>
      </c>
      <c r="U51" s="72">
        <f t="shared" si="51"/>
        <v>6</v>
      </c>
      <c r="V51" s="76">
        <f t="shared" ref="V51:W51" si="54">(Q44/Q32)-1</f>
        <v>-9.5711677161580022E-2</v>
      </c>
      <c r="W51" s="76">
        <f t="shared" si="54"/>
        <v>-4.3604507313004137E-2</v>
      </c>
    </row>
    <row r="52" spans="1:23" x14ac:dyDescent="0.35">
      <c r="A52" s="167"/>
      <c r="B52" s="27">
        <v>2</v>
      </c>
      <c r="C52" s="27">
        <v>11866925.822999995</v>
      </c>
      <c r="D52" s="27">
        <v>6699403.7800000031</v>
      </c>
      <c r="E52" s="27">
        <v>53486346.049000047</v>
      </c>
      <c r="F52" s="27">
        <v>182506.72100000002</v>
      </c>
      <c r="G52" s="27">
        <v>18575.22</v>
      </c>
      <c r="H52" s="27">
        <v>29497.15</v>
      </c>
      <c r="I52" s="27">
        <v>8592313.0399999991</v>
      </c>
      <c r="J52" s="27">
        <v>3763582.49</v>
      </c>
      <c r="L52" s="72">
        <v>2</v>
      </c>
      <c r="M52" s="74">
        <f t="shared" si="35"/>
        <v>18566329.603</v>
      </c>
      <c r="N52" s="74">
        <f t="shared" si="36"/>
        <v>53668852.770000048</v>
      </c>
      <c r="O52" s="74">
        <f t="shared" si="37"/>
        <v>48072.37</v>
      </c>
      <c r="P52" s="74">
        <f t="shared" si="38"/>
        <v>12355895.529999999</v>
      </c>
      <c r="Q52" s="74">
        <f t="shared" si="50"/>
        <v>18614401.973000001</v>
      </c>
      <c r="R52" s="74">
        <f>(N52+P52)</f>
        <v>66024748.300000049</v>
      </c>
      <c r="U52" s="72">
        <f t="shared" si="51"/>
        <v>7</v>
      </c>
      <c r="V52" s="76">
        <f t="shared" ref="V52" si="55">(Q45/Q33)-1</f>
        <v>-8.1771418072744018E-2</v>
      </c>
      <c r="W52" s="76">
        <f>(R45/R33)-1</f>
        <v>-0.10849152351693303</v>
      </c>
    </row>
    <row r="53" spans="1:23" x14ac:dyDescent="0.35">
      <c r="A53" s="167"/>
      <c r="B53" s="27">
        <v>3</v>
      </c>
      <c r="C53" s="27">
        <v>13140106.503000014</v>
      </c>
      <c r="D53" s="27">
        <v>7368935.3599999873</v>
      </c>
      <c r="E53" s="27">
        <v>59955126.908000082</v>
      </c>
      <c r="F53" s="27">
        <v>197692.82999999993</v>
      </c>
      <c r="G53" s="27">
        <v>18225.830000000002</v>
      </c>
      <c r="H53" s="27">
        <v>36655.519999999997</v>
      </c>
      <c r="I53" s="27">
        <v>10110828.829999998</v>
      </c>
      <c r="J53" s="27">
        <v>4966393.58</v>
      </c>
      <c r="L53" s="72">
        <v>3</v>
      </c>
      <c r="M53" s="74">
        <f t="shared" si="35"/>
        <v>20509041.863000002</v>
      </c>
      <c r="N53" s="74">
        <f t="shared" si="36"/>
        <v>60152819.73800008</v>
      </c>
      <c r="O53" s="74">
        <f t="shared" si="37"/>
        <v>54881.35</v>
      </c>
      <c r="P53" s="74">
        <f t="shared" si="38"/>
        <v>15077222.409999998</v>
      </c>
      <c r="Q53" s="74">
        <f t="shared" si="50"/>
        <v>20563923.213000003</v>
      </c>
      <c r="R53" s="74">
        <f>(N53+P53)</f>
        <v>75230042.148000076</v>
      </c>
      <c r="U53" s="72">
        <f t="shared" si="51"/>
        <v>8</v>
      </c>
      <c r="V53" s="76">
        <f>(Q46/Q34)-1</f>
        <v>-4.0708672314574423E-3</v>
      </c>
      <c r="W53" s="76">
        <f>(R46/R34)-1</f>
        <v>5.6087364770794013E-2</v>
      </c>
    </row>
    <row r="54" spans="1:23" x14ac:dyDescent="0.35">
      <c r="A54" s="167"/>
      <c r="B54" s="27">
        <v>4</v>
      </c>
      <c r="C54" s="27">
        <v>13842406.98000001</v>
      </c>
      <c r="D54" s="27">
        <v>8160793.656999995</v>
      </c>
      <c r="E54" s="27">
        <v>57321669.648000039</v>
      </c>
      <c r="F54" s="27">
        <v>384235.82500000013</v>
      </c>
      <c r="G54" s="27">
        <v>16536.03</v>
      </c>
      <c r="H54" s="27">
        <v>56499.1</v>
      </c>
      <c r="I54" s="27">
        <v>9087923.8000000007</v>
      </c>
      <c r="J54" s="27">
        <v>9121953.5500000007</v>
      </c>
      <c r="L54" s="72">
        <v>4</v>
      </c>
      <c r="M54" s="74">
        <f t="shared" si="35"/>
        <v>22003200.637000006</v>
      </c>
      <c r="N54" s="74">
        <f t="shared" si="36"/>
        <v>57705905.473000042</v>
      </c>
      <c r="O54" s="74">
        <f t="shared" si="37"/>
        <v>73035.13</v>
      </c>
      <c r="P54" s="74">
        <f t="shared" si="38"/>
        <v>18209877.350000001</v>
      </c>
      <c r="Q54" s="74">
        <f t="shared" si="50"/>
        <v>22076235.767000005</v>
      </c>
      <c r="R54" s="74">
        <f>(N54+P54)</f>
        <v>75915782.823000044</v>
      </c>
      <c r="U54" s="72">
        <f t="shared" si="51"/>
        <v>9</v>
      </c>
      <c r="V54" s="76">
        <f t="shared" ref="V54:W54" si="56">(Q47/Q35)-1</f>
        <v>-5.9922933910944054E-2</v>
      </c>
      <c r="W54" s="76">
        <f t="shared" si="56"/>
        <v>-3.324443384072806E-2</v>
      </c>
    </row>
    <row r="55" spans="1:23" x14ac:dyDescent="0.35">
      <c r="A55" s="167"/>
      <c r="B55" s="27">
        <v>5</v>
      </c>
      <c r="C55" s="27">
        <v>15351495.32799999</v>
      </c>
      <c r="D55" s="27">
        <v>9641809.5360000022</v>
      </c>
      <c r="E55" s="27">
        <v>63343273.105999947</v>
      </c>
      <c r="F55" s="27">
        <v>358531.77199999988</v>
      </c>
      <c r="G55" s="27">
        <v>27039.39</v>
      </c>
      <c r="H55" s="27">
        <v>77711.33</v>
      </c>
      <c r="I55" s="27">
        <v>10128423.560000002</v>
      </c>
      <c r="J55" s="27">
        <v>8603053.7599999998</v>
      </c>
      <c r="L55" s="72">
        <v>5</v>
      </c>
      <c r="M55" s="74">
        <f t="shared" si="35"/>
        <v>24993304.863999993</v>
      </c>
      <c r="N55" s="74">
        <f t="shared" si="36"/>
        <v>63701804.877999946</v>
      </c>
      <c r="O55" s="74">
        <f t="shared" si="37"/>
        <v>104750.72</v>
      </c>
      <c r="P55" s="74">
        <f t="shared" si="38"/>
        <v>18731477.32</v>
      </c>
      <c r="Q55" s="74">
        <f t="shared" si="50"/>
        <v>25098055.583999991</v>
      </c>
      <c r="R55" s="74">
        <f t="shared" ref="R55:R58" si="57">(N55+P55)</f>
        <v>82433282.197999954</v>
      </c>
      <c r="U55" s="72">
        <f t="shared" si="51"/>
        <v>10</v>
      </c>
      <c r="V55" s="76">
        <f t="shared" ref="V55" si="58">(Q48/Q36)-1</f>
        <v>-5.2100123329816173E-2</v>
      </c>
      <c r="W55" s="76">
        <f>(R48/R36)-1</f>
        <v>-1.7260478616704322E-2</v>
      </c>
    </row>
    <row r="56" spans="1:23" x14ac:dyDescent="0.35">
      <c r="A56" s="167"/>
      <c r="B56" s="27">
        <v>6</v>
      </c>
      <c r="C56" s="27">
        <v>15935911.639999984</v>
      </c>
      <c r="D56" s="27">
        <v>9670213.7199999988</v>
      </c>
      <c r="E56" s="27">
        <v>60442918.393000066</v>
      </c>
      <c r="F56" s="27">
        <v>262859.25099999999</v>
      </c>
      <c r="G56" s="27">
        <v>28926.6</v>
      </c>
      <c r="H56" s="27">
        <v>54501.62</v>
      </c>
      <c r="I56" s="27">
        <v>9629675.25</v>
      </c>
      <c r="J56" s="27">
        <v>6139607.6399999997</v>
      </c>
      <c r="L56" s="72">
        <v>6</v>
      </c>
      <c r="M56" s="74">
        <f t="shared" si="35"/>
        <v>25606125.359999985</v>
      </c>
      <c r="N56" s="74">
        <f t="shared" si="36"/>
        <v>60705777.644000068</v>
      </c>
      <c r="O56" s="74">
        <f t="shared" si="37"/>
        <v>83428.22</v>
      </c>
      <c r="P56" s="74">
        <f t="shared" si="38"/>
        <v>15769282.890000001</v>
      </c>
      <c r="Q56" s="74">
        <f t="shared" si="50"/>
        <v>25689553.579999983</v>
      </c>
      <c r="R56" s="74">
        <f t="shared" si="57"/>
        <v>76475060.534000069</v>
      </c>
      <c r="U56" s="72">
        <f t="shared" si="51"/>
        <v>11</v>
      </c>
      <c r="V56" s="76">
        <f t="shared" ref="V56:W56" si="59">(Q49/Q37)-1</f>
        <v>-4.3816142394188518E-3</v>
      </c>
      <c r="W56" s="76">
        <f t="shared" si="59"/>
        <v>2.5356284206273338E-2</v>
      </c>
    </row>
    <row r="57" spans="1:23" ht="15" customHeight="1" x14ac:dyDescent="0.35">
      <c r="A57" s="167"/>
      <c r="B57" s="27">
        <v>7</v>
      </c>
      <c r="C57" s="27">
        <v>16534625.591000004</v>
      </c>
      <c r="D57" s="27">
        <v>10026520.746999981</v>
      </c>
      <c r="E57" s="27">
        <v>61506917.790999971</v>
      </c>
      <c r="F57" s="27">
        <v>343411.97800000006</v>
      </c>
      <c r="G57" s="27">
        <v>20012.7</v>
      </c>
      <c r="H57" s="27">
        <v>75118.62</v>
      </c>
      <c r="I57" s="27">
        <v>9057667.3440000005</v>
      </c>
      <c r="J57" s="27">
        <v>9331535.4800000004</v>
      </c>
      <c r="L57" s="72">
        <v>7</v>
      </c>
      <c r="M57" s="74">
        <f t="shared" si="35"/>
        <v>26561146.337999985</v>
      </c>
      <c r="N57" s="74">
        <f t="shared" si="36"/>
        <v>61850329.768999971</v>
      </c>
      <c r="O57" s="74">
        <f t="shared" si="37"/>
        <v>95131.319999999992</v>
      </c>
      <c r="P57" s="74">
        <f t="shared" si="38"/>
        <v>18389202.824000001</v>
      </c>
      <c r="Q57" s="74">
        <f t="shared" si="50"/>
        <v>26656277.657999985</v>
      </c>
      <c r="R57" s="74">
        <f t="shared" si="57"/>
        <v>80239532.592999965</v>
      </c>
      <c r="U57" s="72">
        <f t="shared" si="51"/>
        <v>12</v>
      </c>
      <c r="V57" s="76">
        <f t="shared" ref="V57:W57" si="60">(Q50/Q38)-1</f>
        <v>-6.4633037132377114E-2</v>
      </c>
      <c r="W57" s="76">
        <f t="shared" si="60"/>
        <v>3.7890668032541486E-2</v>
      </c>
    </row>
    <row r="58" spans="1:23" x14ac:dyDescent="0.35">
      <c r="A58" s="167"/>
      <c r="B58" s="27">
        <v>8</v>
      </c>
      <c r="C58" s="27">
        <v>16797495.43300001</v>
      </c>
      <c r="D58" s="27">
        <v>9911246.7580000106</v>
      </c>
      <c r="E58" s="27">
        <v>66072889.750000045</v>
      </c>
      <c r="F58" s="27">
        <v>563810.33000000007</v>
      </c>
      <c r="G58" s="27">
        <v>25017.360000000001</v>
      </c>
      <c r="H58" s="27">
        <v>52037.52</v>
      </c>
      <c r="I58" s="27">
        <v>9755477.5200000014</v>
      </c>
      <c r="J58" s="27">
        <v>14156045.07</v>
      </c>
      <c r="L58" s="72">
        <v>8</v>
      </c>
      <c r="M58" s="74">
        <f t="shared" si="35"/>
        <v>26708742.191000022</v>
      </c>
      <c r="N58" s="74">
        <f t="shared" si="36"/>
        <v>66636700.080000043</v>
      </c>
      <c r="O58" s="74">
        <f t="shared" si="37"/>
        <v>77054.880000000005</v>
      </c>
      <c r="P58" s="74">
        <f t="shared" si="38"/>
        <v>23911522.590000004</v>
      </c>
      <c r="Q58" s="74">
        <f t="shared" si="50"/>
        <v>26785797.071000021</v>
      </c>
      <c r="R58" s="74">
        <f t="shared" si="57"/>
        <v>90548222.670000046</v>
      </c>
      <c r="U58" s="78" t="s">
        <v>89</v>
      </c>
      <c r="V58" s="123">
        <f>(SUM(Q39:Q50)/SUM(Q27:Q38))-1</f>
        <v>-3.2603259143110574E-2</v>
      </c>
      <c r="W58" s="123">
        <f>(SUM(R39:R50)/SUM(R27:R38))-1</f>
        <v>6.0764832853605899E-3</v>
      </c>
    </row>
    <row r="59" spans="1:23" ht="15" customHeight="1" x14ac:dyDescent="0.35">
      <c r="A59" s="167"/>
      <c r="B59" s="27">
        <v>9</v>
      </c>
      <c r="C59" s="27">
        <v>14825341.543999998</v>
      </c>
      <c r="D59" s="27">
        <v>8726311.0970000178</v>
      </c>
      <c r="E59" s="27">
        <v>60893800.949999988</v>
      </c>
      <c r="F59" s="27">
        <v>441525.33600000001</v>
      </c>
      <c r="G59" s="27">
        <v>12810.75</v>
      </c>
      <c r="H59" s="27">
        <v>51132.41</v>
      </c>
      <c r="I59" s="27">
        <v>8831671.5299999993</v>
      </c>
      <c r="J59" s="27">
        <v>11822398.279999999</v>
      </c>
      <c r="L59" s="72">
        <v>9</v>
      </c>
      <c r="M59" s="74">
        <f t="shared" ref="M59:M62" si="61">C59+D59</f>
        <v>23551652.641000018</v>
      </c>
      <c r="N59" s="74">
        <f t="shared" ref="N59:N62" si="62">E59+F59</f>
        <v>61335326.285999991</v>
      </c>
      <c r="O59" s="74">
        <f t="shared" ref="O59:O62" si="63">G59+H59</f>
        <v>63943.16</v>
      </c>
      <c r="P59" s="74">
        <f t="shared" ref="P59:P61" si="64">I59+J59</f>
        <v>20654069.809999999</v>
      </c>
      <c r="Q59" s="74">
        <f t="shared" ref="Q59:Q62" si="65">(M59+O59)</f>
        <v>23615595.801000018</v>
      </c>
      <c r="R59" s="74">
        <f t="shared" ref="R59:R61" si="66">(N59+P59)</f>
        <v>81989396.095999986</v>
      </c>
    </row>
    <row r="60" spans="1:23" x14ac:dyDescent="0.35">
      <c r="A60" s="167"/>
      <c r="B60" s="27">
        <v>10</v>
      </c>
      <c r="C60" s="27">
        <v>14310651.501999987</v>
      </c>
      <c r="D60" s="27">
        <v>7983043.5939999893</v>
      </c>
      <c r="E60" s="27">
        <v>61644855.204999983</v>
      </c>
      <c r="F60" s="27">
        <v>304313.09799999994</v>
      </c>
      <c r="G60" s="27">
        <v>20171.099999999999</v>
      </c>
      <c r="H60" s="27">
        <v>48475</v>
      </c>
      <c r="I60" s="27">
        <v>9653657.1600000001</v>
      </c>
      <c r="J60" s="27">
        <v>6272713.1699999999</v>
      </c>
      <c r="L60" s="72">
        <v>10</v>
      </c>
      <c r="M60" s="74">
        <f t="shared" si="61"/>
        <v>22293695.095999978</v>
      </c>
      <c r="N60" s="74">
        <f t="shared" si="62"/>
        <v>61949168.302999981</v>
      </c>
      <c r="O60" s="74">
        <f t="shared" si="63"/>
        <v>68646.100000000006</v>
      </c>
      <c r="P60" s="74">
        <f t="shared" si="64"/>
        <v>15926370.33</v>
      </c>
      <c r="Q60" s="74">
        <f t="shared" si="65"/>
        <v>22362341.19599998</v>
      </c>
      <c r="R60" s="74">
        <f t="shared" si="66"/>
        <v>77875538.632999986</v>
      </c>
      <c r="U60" s="78" t="s">
        <v>41</v>
      </c>
      <c r="V60" s="168">
        <f>(SUM(Q39:R50)/SUM(Q27:R38))-1</f>
        <v>-2.8783339956969245E-3</v>
      </c>
      <c r="W60" s="168"/>
    </row>
    <row r="61" spans="1:23" x14ac:dyDescent="0.35">
      <c r="A61" s="167"/>
      <c r="B61" s="27">
        <v>11</v>
      </c>
      <c r="C61" s="27">
        <v>13301459.174999997</v>
      </c>
      <c r="D61" s="27">
        <v>7419385.5599999949</v>
      </c>
      <c r="E61" s="27">
        <v>61287197.64000006</v>
      </c>
      <c r="F61" s="27">
        <v>237971.10900000008</v>
      </c>
      <c r="G61" s="27">
        <v>28349.83</v>
      </c>
      <c r="H61" s="27">
        <v>51944.63</v>
      </c>
      <c r="I61" s="27">
        <v>10176936.549999999</v>
      </c>
      <c r="J61" s="27">
        <v>5852558.9000000004</v>
      </c>
      <c r="L61" s="72">
        <v>11</v>
      </c>
      <c r="M61" s="74">
        <f t="shared" si="61"/>
        <v>20720844.734999992</v>
      </c>
      <c r="N61" s="74">
        <f t="shared" si="62"/>
        <v>61525168.749000058</v>
      </c>
      <c r="O61" s="74">
        <f t="shared" si="63"/>
        <v>80294.459999999992</v>
      </c>
      <c r="P61" s="74">
        <f t="shared" si="64"/>
        <v>16029495.449999999</v>
      </c>
      <c r="Q61" s="74">
        <f t="shared" si="65"/>
        <v>20801139.194999993</v>
      </c>
      <c r="R61" s="74">
        <f t="shared" si="66"/>
        <v>77554664.199000061</v>
      </c>
    </row>
    <row r="62" spans="1:23" ht="15" thickBot="1" x14ac:dyDescent="0.4">
      <c r="A62" s="167"/>
      <c r="B62" s="27">
        <v>12</v>
      </c>
      <c r="C62" s="27">
        <v>13919406.675999995</v>
      </c>
      <c r="D62" s="27">
        <v>7981002.3140000021</v>
      </c>
      <c r="E62" s="27">
        <v>58307723.495000027</v>
      </c>
      <c r="F62" s="27">
        <v>215886.75600000011</v>
      </c>
      <c r="G62" s="27">
        <v>15811.46</v>
      </c>
      <c r="H62" s="27">
        <v>32488.2</v>
      </c>
      <c r="I62" s="27">
        <v>9879102.7299999986</v>
      </c>
      <c r="J62" s="27">
        <v>4286123.8099999996</v>
      </c>
      <c r="L62" s="72">
        <v>12</v>
      </c>
      <c r="M62" s="74">
        <f t="shared" si="61"/>
        <v>21900408.989999998</v>
      </c>
      <c r="N62" s="74">
        <f t="shared" si="62"/>
        <v>58523610.251000024</v>
      </c>
      <c r="O62" s="74">
        <f t="shared" si="63"/>
        <v>48299.66</v>
      </c>
      <c r="P62" s="74">
        <f>I62+J62</f>
        <v>14165226.539999999</v>
      </c>
      <c r="Q62" s="74">
        <f t="shared" si="65"/>
        <v>21948708.649999999</v>
      </c>
      <c r="R62" s="74">
        <f>(N62+P62)</f>
        <v>72688836.791000023</v>
      </c>
      <c r="S62" s="74">
        <f>SUM(Q51:Q62)/365</f>
        <v>748799.42542191781</v>
      </c>
      <c r="T62" s="74">
        <f>SUM(R51:R62)/365</f>
        <v>2536636.5260410965</v>
      </c>
    </row>
    <row r="63" spans="1:23" x14ac:dyDescent="0.35">
      <c r="A63" s="167">
        <v>2024</v>
      </c>
      <c r="B63" s="27">
        <v>1</v>
      </c>
      <c r="C63" s="27">
        <v>12670692.984999979</v>
      </c>
      <c r="D63" s="27">
        <v>7088419.101999999</v>
      </c>
      <c r="E63" s="27">
        <v>59163791.809000038</v>
      </c>
      <c r="F63" s="27">
        <v>166566.05400000003</v>
      </c>
      <c r="G63" s="27">
        <v>17642.18</v>
      </c>
      <c r="H63" s="27">
        <v>53001.58</v>
      </c>
      <c r="I63" s="27">
        <v>10458555.649999999</v>
      </c>
      <c r="J63" s="27">
        <v>4154966.1799999997</v>
      </c>
      <c r="L63" s="142">
        <v>1</v>
      </c>
      <c r="M63" s="143">
        <f>C63+D63</f>
        <v>19759112.086999979</v>
      </c>
      <c r="N63" s="143">
        <f>E63+F63</f>
        <v>59330357.863000035</v>
      </c>
      <c r="O63" s="143">
        <f t="shared" ref="O63:O66" si="67">G63+H63</f>
        <v>70643.760000000009</v>
      </c>
      <c r="P63" s="143">
        <f>I63+J63</f>
        <v>14613521.829999998</v>
      </c>
      <c r="Q63" s="143">
        <f>(M63+O63)</f>
        <v>19829755.846999981</v>
      </c>
      <c r="R63" s="143">
        <f>(N63+P63)</f>
        <v>73943879.693000033</v>
      </c>
      <c r="V63" s="169" t="s">
        <v>105</v>
      </c>
      <c r="W63" s="169"/>
    </row>
    <row r="64" spans="1:23" x14ac:dyDescent="0.35">
      <c r="A64" s="167"/>
      <c r="B64" s="27">
        <v>2</v>
      </c>
      <c r="C64" s="27">
        <v>11934007.292999994</v>
      </c>
      <c r="D64" s="27">
        <v>6472733.6699999981</v>
      </c>
      <c r="E64" s="27">
        <v>55231563.872000024</v>
      </c>
      <c r="F64" s="27">
        <v>135694.82199999999</v>
      </c>
      <c r="G64" s="27">
        <v>15122.54</v>
      </c>
      <c r="H64" s="27">
        <v>32168.18</v>
      </c>
      <c r="I64" s="27">
        <v>9572082.5399999991</v>
      </c>
      <c r="J64" s="27">
        <v>3406329.58</v>
      </c>
      <c r="L64" s="72">
        <v>2</v>
      </c>
      <c r="M64" s="74">
        <f t="shared" ref="M64:M65" si="68">C64+D64</f>
        <v>18406740.962999992</v>
      </c>
      <c r="N64" s="74">
        <f t="shared" ref="N64:N66" si="69">E64+F64</f>
        <v>55367258.694000021</v>
      </c>
      <c r="O64" s="74">
        <f t="shared" si="67"/>
        <v>47290.720000000001</v>
      </c>
      <c r="P64" s="74">
        <f t="shared" ref="P64:P66" si="70">I64+J64</f>
        <v>12978412.119999999</v>
      </c>
      <c r="Q64" s="74">
        <f t="shared" ref="Q64:Q66" si="71">(M64+O64)</f>
        <v>18454031.682999991</v>
      </c>
      <c r="R64" s="74">
        <f t="shared" ref="R64:R66" si="72">(N64+P64)</f>
        <v>68345670.814000025</v>
      </c>
      <c r="V64" s="169" t="s">
        <v>159</v>
      </c>
      <c r="W64" s="169"/>
    </row>
    <row r="65" spans="1:23" x14ac:dyDescent="0.35">
      <c r="A65" s="167"/>
      <c r="B65" s="27">
        <v>3</v>
      </c>
      <c r="C65" s="27">
        <v>13450062.643999994</v>
      </c>
      <c r="D65" s="27">
        <v>7363867.3220000016</v>
      </c>
      <c r="E65" s="27">
        <v>57863186.366999969</v>
      </c>
      <c r="F65" s="27">
        <v>152490.78399999996</v>
      </c>
      <c r="G65" s="27">
        <v>16567.240000000002</v>
      </c>
      <c r="H65" s="27">
        <v>32587</v>
      </c>
      <c r="I65" s="27">
        <v>9541951.0800000001</v>
      </c>
      <c r="J65" s="27">
        <v>5105255.58</v>
      </c>
      <c r="L65" s="72">
        <v>3</v>
      </c>
      <c r="M65" s="74">
        <f t="shared" si="68"/>
        <v>20813929.965999994</v>
      </c>
      <c r="N65" s="74">
        <f t="shared" si="69"/>
        <v>58015677.150999971</v>
      </c>
      <c r="O65" s="74">
        <f t="shared" si="67"/>
        <v>49154.240000000005</v>
      </c>
      <c r="P65" s="74">
        <f t="shared" si="70"/>
        <v>14647206.66</v>
      </c>
      <c r="Q65" s="74">
        <f t="shared" si="71"/>
        <v>20863084.205999993</v>
      </c>
      <c r="R65" s="74">
        <f t="shared" si="72"/>
        <v>72662883.810999975</v>
      </c>
      <c r="V65" s="75" t="str">
        <f>V26</f>
        <v>Bensiin</v>
      </c>
      <c r="W65" s="75" t="str">
        <f>W26</f>
        <v>Diisel</v>
      </c>
    </row>
    <row r="66" spans="1:23" x14ac:dyDescent="0.35">
      <c r="A66" s="167"/>
      <c r="B66" s="27">
        <v>4</v>
      </c>
      <c r="C66" s="27">
        <v>13685426.823000023</v>
      </c>
      <c r="D66" s="27">
        <v>7552624.8449999979</v>
      </c>
      <c r="E66" s="27">
        <v>62170531.732999884</v>
      </c>
      <c r="F66" s="27">
        <v>280083.89900000009</v>
      </c>
      <c r="G66" s="27">
        <v>30742.28</v>
      </c>
      <c r="H66" s="27">
        <v>56711.94</v>
      </c>
      <c r="I66" s="27">
        <v>11878479.279999997</v>
      </c>
      <c r="J66" s="27">
        <v>7879170.0800000001</v>
      </c>
      <c r="L66" s="72">
        <v>4</v>
      </c>
      <c r="M66" s="74">
        <f t="shared" ref="M66:M71" si="73">C66+D66</f>
        <v>21238051.66800002</v>
      </c>
      <c r="N66" s="74">
        <f t="shared" si="69"/>
        <v>62450615.63199988</v>
      </c>
      <c r="O66" s="74">
        <f t="shared" si="67"/>
        <v>87454.22</v>
      </c>
      <c r="P66" s="74">
        <f t="shared" si="70"/>
        <v>19757649.359999999</v>
      </c>
      <c r="Q66" s="74">
        <f t="shared" si="71"/>
        <v>21325505.888000019</v>
      </c>
      <c r="R66" s="74">
        <f t="shared" si="72"/>
        <v>82208264.991999879</v>
      </c>
      <c r="U66" s="72">
        <v>1</v>
      </c>
      <c r="V66" s="76">
        <f>(Q63/Q51)-1</f>
        <v>3.8220125981262232E-2</v>
      </c>
      <c r="W66" s="76">
        <f>(R63/R51)-1</f>
        <v>7.3249026670304973E-2</v>
      </c>
    </row>
    <row r="67" spans="1:23" x14ac:dyDescent="0.35">
      <c r="A67" s="167"/>
      <c r="B67" s="27">
        <v>5</v>
      </c>
      <c r="C67" s="27">
        <v>16113128.633999996</v>
      </c>
      <c r="D67" s="27">
        <v>9581489.2169999871</v>
      </c>
      <c r="E67" s="27">
        <v>64560606.388999954</v>
      </c>
      <c r="F67" s="27">
        <v>397993.47899999988</v>
      </c>
      <c r="G67" s="27">
        <v>28677.72</v>
      </c>
      <c r="H67" s="27">
        <v>60126.65</v>
      </c>
      <c r="I67" s="27">
        <v>10390901.41</v>
      </c>
      <c r="J67" s="27">
        <v>9192527.7200000007</v>
      </c>
      <c r="L67" s="72">
        <v>5</v>
      </c>
      <c r="M67" s="74">
        <f t="shared" si="73"/>
        <v>25694617.850999981</v>
      </c>
      <c r="N67" s="74">
        <f t="shared" ref="N67" si="74">E67+F67</f>
        <v>64958599.867999956</v>
      </c>
      <c r="O67" s="74">
        <f t="shared" ref="O67:O69" si="75">G67+H67</f>
        <v>88804.37</v>
      </c>
      <c r="P67" s="74">
        <f t="shared" ref="P67:P69" si="76">I67+J67</f>
        <v>19583429.130000003</v>
      </c>
      <c r="Q67" s="74">
        <f t="shared" ref="Q67:Q69" si="77">(M67+O67)</f>
        <v>25783422.220999982</v>
      </c>
      <c r="R67" s="74">
        <f t="shared" ref="R67:R69" si="78">(N67+P67)</f>
        <v>84542028.997999966</v>
      </c>
      <c r="U67" s="72">
        <f>U66+1</f>
        <v>2</v>
      </c>
      <c r="V67" s="76">
        <f t="shared" ref="V67:V77" si="79">(Q64/Q52)-1</f>
        <v>-8.6153877106890375E-3</v>
      </c>
      <c r="W67" s="76">
        <f t="shared" ref="W67:W77" si="80">(R64/R52)-1</f>
        <v>3.515231142501718E-2</v>
      </c>
    </row>
    <row r="68" spans="1:23" x14ac:dyDescent="0.35">
      <c r="A68" s="167"/>
      <c r="B68" s="27">
        <v>6</v>
      </c>
      <c r="C68" s="27">
        <v>16494133.512000022</v>
      </c>
      <c r="D68" s="27">
        <v>9852214.4360000063</v>
      </c>
      <c r="E68" s="27">
        <v>60781620.046999954</v>
      </c>
      <c r="F68" s="27">
        <v>259198.64199999996</v>
      </c>
      <c r="G68" s="27">
        <v>25510.69</v>
      </c>
      <c r="H68" s="27">
        <v>52790.16</v>
      </c>
      <c r="I68" s="27">
        <v>8911919.5799999982</v>
      </c>
      <c r="J68" s="27">
        <v>5672711.6100000003</v>
      </c>
      <c r="L68" s="72">
        <v>6</v>
      </c>
      <c r="M68" s="74">
        <f t="shared" si="73"/>
        <v>26346347.948000029</v>
      </c>
      <c r="N68" s="74">
        <f>E68+F68</f>
        <v>61040818.688999951</v>
      </c>
      <c r="O68" s="74">
        <f>G68+H68</f>
        <v>78300.850000000006</v>
      </c>
      <c r="P68" s="74">
        <f>I68+J68</f>
        <v>14584631.189999998</v>
      </c>
      <c r="Q68" s="74">
        <f>(M68+O68)</f>
        <v>26424648.79800003</v>
      </c>
      <c r="R68" s="74">
        <f>(N68+P68)</f>
        <v>75625449.878999949</v>
      </c>
      <c r="U68" s="72">
        <f>U67+1</f>
        <v>3</v>
      </c>
      <c r="V68" s="76">
        <f t="shared" si="79"/>
        <v>1.4547855966067225E-2</v>
      </c>
      <c r="W68" s="76">
        <f t="shared" si="80"/>
        <v>-3.4124111374944199E-2</v>
      </c>
    </row>
    <row r="69" spans="1:23" x14ac:dyDescent="0.35">
      <c r="A69" s="167"/>
      <c r="B69" s="27">
        <v>7</v>
      </c>
      <c r="C69" s="27">
        <v>16692748.93</v>
      </c>
      <c r="D69" s="27">
        <v>10047213.425999993</v>
      </c>
      <c r="E69" s="27">
        <v>64920495.591000013</v>
      </c>
      <c r="F69" s="27">
        <v>350988.60099999991</v>
      </c>
      <c r="G69" s="27">
        <v>22790.92</v>
      </c>
      <c r="H69" s="27">
        <v>65366.38</v>
      </c>
      <c r="I69" s="27">
        <v>10010876.619999999</v>
      </c>
      <c r="J69" s="27">
        <v>9071891.0800000001</v>
      </c>
      <c r="L69" s="72">
        <v>7</v>
      </c>
      <c r="M69" s="74">
        <f t="shared" si="73"/>
        <v>26739962.355999991</v>
      </c>
      <c r="N69" s="74">
        <f>E69+F69</f>
        <v>65271484.192000017</v>
      </c>
      <c r="O69" s="74">
        <f t="shared" si="75"/>
        <v>88157.299999999988</v>
      </c>
      <c r="P69" s="74">
        <f t="shared" si="76"/>
        <v>19082767.699999999</v>
      </c>
      <c r="Q69" s="74">
        <f t="shared" si="77"/>
        <v>26828119.655999992</v>
      </c>
      <c r="R69" s="74">
        <f t="shared" si="78"/>
        <v>84354251.89200002</v>
      </c>
      <c r="U69" s="72">
        <f t="shared" ref="U69:U77" si="81">U68+1</f>
        <v>4</v>
      </c>
      <c r="V69" s="76">
        <f t="shared" si="79"/>
        <v>-3.4006244856389478E-2</v>
      </c>
      <c r="W69" s="76">
        <f>(R66/R54)-1</f>
        <v>8.2887667557495215E-2</v>
      </c>
    </row>
    <row r="70" spans="1:23" x14ac:dyDescent="0.35">
      <c r="A70" s="167"/>
      <c r="B70" s="27">
        <v>8</v>
      </c>
      <c r="C70" s="27">
        <v>16873931.92499999</v>
      </c>
      <c r="D70" s="27">
        <v>10180463.456000004</v>
      </c>
      <c r="E70" s="27">
        <v>66327372.436999999</v>
      </c>
      <c r="F70" s="27">
        <v>539901.45400000003</v>
      </c>
      <c r="G70" s="27">
        <v>26661.85</v>
      </c>
      <c r="H70" s="27">
        <v>35895.81</v>
      </c>
      <c r="I70" s="27">
        <v>9644928.0800000001</v>
      </c>
      <c r="J70" s="27">
        <v>13773745.09</v>
      </c>
      <c r="L70" s="72">
        <v>8</v>
      </c>
      <c r="M70" s="74">
        <f t="shared" si="73"/>
        <v>27054395.380999994</v>
      </c>
      <c r="N70" s="74">
        <f>E70+F70</f>
        <v>66867273.891000003</v>
      </c>
      <c r="O70" s="74">
        <f t="shared" ref="O70:O71" si="82">G70+H70</f>
        <v>62557.659999999996</v>
      </c>
      <c r="P70" s="74">
        <f t="shared" ref="P70" si="83">I70+J70</f>
        <v>23418673.170000002</v>
      </c>
      <c r="Q70" s="74">
        <f t="shared" ref="Q70:Q71" si="84">(M70+O70)</f>
        <v>27116953.040999994</v>
      </c>
      <c r="R70" s="74">
        <f t="shared" ref="R70" si="85">(N70+P70)</f>
        <v>90285947.061000004</v>
      </c>
      <c r="U70" s="72">
        <f t="shared" si="81"/>
        <v>5</v>
      </c>
      <c r="V70" s="76">
        <f t="shared" si="79"/>
        <v>2.7307559133661119E-2</v>
      </c>
      <c r="W70" s="76">
        <f t="shared" si="80"/>
        <v>2.5581254849648349E-2</v>
      </c>
    </row>
    <row r="71" spans="1:23" x14ac:dyDescent="0.35">
      <c r="A71" s="167"/>
      <c r="B71" s="27">
        <v>9</v>
      </c>
      <c r="C71" s="27">
        <v>14477437.576000003</v>
      </c>
      <c r="D71" s="27">
        <v>8831831.3989999965</v>
      </c>
      <c r="E71" s="27">
        <v>62505600.320999973</v>
      </c>
      <c r="F71" s="27">
        <v>382610.348</v>
      </c>
      <c r="G71" s="27">
        <v>18931.09</v>
      </c>
      <c r="H71" s="27">
        <v>71242.97</v>
      </c>
      <c r="I71" s="27">
        <v>9878891.2300000004</v>
      </c>
      <c r="J71" s="27">
        <v>9365872.8000000007</v>
      </c>
      <c r="L71" s="72">
        <v>9</v>
      </c>
      <c r="M71" s="74">
        <f t="shared" si="73"/>
        <v>23309268.975000001</v>
      </c>
      <c r="N71" s="74">
        <f>E71+F71</f>
        <v>62888210.66899997</v>
      </c>
      <c r="O71" s="74">
        <f t="shared" si="82"/>
        <v>90174.06</v>
      </c>
      <c r="P71" s="74">
        <f>I71+J71</f>
        <v>19244764.030000001</v>
      </c>
      <c r="Q71" s="74">
        <f t="shared" si="84"/>
        <v>23399443.035</v>
      </c>
      <c r="R71" s="74">
        <f>(N71+P71)</f>
        <v>82132974.698999971</v>
      </c>
      <c r="U71" s="72">
        <f t="shared" si="81"/>
        <v>6</v>
      </c>
      <c r="V71" s="76">
        <f t="shared" si="79"/>
        <v>2.861455788676448E-2</v>
      </c>
      <c r="W71" s="76">
        <f>(R68/R56)-1</f>
        <v>-1.1109643445426087E-2</v>
      </c>
    </row>
    <row r="72" spans="1:23" x14ac:dyDescent="0.35">
      <c r="A72" s="167"/>
      <c r="B72" s="27">
        <v>10</v>
      </c>
      <c r="C72" s="27">
        <v>14148768.78799998</v>
      </c>
      <c r="D72" s="27">
        <v>8108659.752999994</v>
      </c>
      <c r="E72" s="27">
        <v>63778887.539999992</v>
      </c>
      <c r="F72" s="27">
        <v>219768.07800000004</v>
      </c>
      <c r="G72" s="27">
        <v>19399.3</v>
      </c>
      <c r="H72" s="27">
        <v>51492.020000000004</v>
      </c>
      <c r="I72" s="27">
        <v>10703211.799999999</v>
      </c>
      <c r="J72" s="27">
        <v>5637614.9500000002</v>
      </c>
      <c r="L72" s="72">
        <v>10</v>
      </c>
      <c r="M72" s="74">
        <f t="shared" ref="M72:M75" si="86">C72+D72</f>
        <v>22257428.540999975</v>
      </c>
      <c r="N72" s="74">
        <f t="shared" ref="N72:N75" si="87">E72+F72</f>
        <v>63998655.617999993</v>
      </c>
      <c r="O72" s="74">
        <f t="shared" ref="O72:O75" si="88">G72+H72</f>
        <v>70891.320000000007</v>
      </c>
      <c r="P72" s="74">
        <f t="shared" ref="P72:P74" si="89">I72+J72</f>
        <v>16340826.75</v>
      </c>
      <c r="Q72" s="74">
        <f t="shared" ref="Q72:Q73" si="90">(M72+O72)</f>
        <v>22328319.860999975</v>
      </c>
      <c r="R72" s="74">
        <f t="shared" ref="R72:R73" si="91">(N72+P72)</f>
        <v>80339482.368000001</v>
      </c>
      <c r="U72" s="72">
        <f t="shared" si="81"/>
        <v>7</v>
      </c>
      <c r="V72" s="76">
        <f>(Q69/Q57)-1</f>
        <v>6.446586436588797E-3</v>
      </c>
      <c r="W72" s="76">
        <f>(R69/R57)-1</f>
        <v>5.1280449499515379E-2</v>
      </c>
    </row>
    <row r="73" spans="1:23" x14ac:dyDescent="0.35">
      <c r="A73" s="167"/>
      <c r="B73" s="27">
        <v>11</v>
      </c>
      <c r="C73" s="27">
        <v>13407055.397</v>
      </c>
      <c r="D73" s="27">
        <v>7466173.4980000015</v>
      </c>
      <c r="E73" s="27">
        <v>60527597.328999951</v>
      </c>
      <c r="F73" s="27">
        <v>140436.28599999999</v>
      </c>
      <c r="G73" s="27">
        <v>31546.39</v>
      </c>
      <c r="H73" s="27">
        <v>40989.4</v>
      </c>
      <c r="I73" s="27">
        <v>10084016.76</v>
      </c>
      <c r="J73" s="27">
        <v>3537233.71</v>
      </c>
      <c r="L73" s="72">
        <v>11</v>
      </c>
      <c r="M73" s="74">
        <f t="shared" si="86"/>
        <v>20873228.895000003</v>
      </c>
      <c r="N73" s="74">
        <f t="shared" si="87"/>
        <v>60668033.61499995</v>
      </c>
      <c r="O73" s="74">
        <f t="shared" si="88"/>
        <v>72535.790000000008</v>
      </c>
      <c r="P73" s="74">
        <f t="shared" si="89"/>
        <v>13621250.469999999</v>
      </c>
      <c r="Q73" s="74">
        <f t="shared" si="90"/>
        <v>20945764.685000002</v>
      </c>
      <c r="R73" s="74">
        <f t="shared" si="91"/>
        <v>74289284.084999949</v>
      </c>
      <c r="S73" s="74"/>
      <c r="T73" s="74"/>
      <c r="U73" s="72">
        <f t="shared" si="81"/>
        <v>8</v>
      </c>
      <c r="V73" s="76">
        <f t="shared" si="79"/>
        <v>1.2363118003253515E-2</v>
      </c>
      <c r="W73" s="76">
        <f t="shared" si="80"/>
        <v>-2.8965296199782165E-3</v>
      </c>
    </row>
    <row r="74" spans="1:23" ht="15" thickBot="1" x14ac:dyDescent="0.4">
      <c r="A74" s="167"/>
      <c r="B74" s="27">
        <v>12</v>
      </c>
      <c r="C74" s="27">
        <v>13907912.914000003</v>
      </c>
      <c r="D74" s="27">
        <v>7662959.342999992</v>
      </c>
      <c r="E74" s="27">
        <v>56971848.314000033</v>
      </c>
      <c r="F74" s="27">
        <v>162132.83000000002</v>
      </c>
      <c r="G74" s="27">
        <v>23427.5</v>
      </c>
      <c r="H74" s="27">
        <v>33782.06</v>
      </c>
      <c r="I74" s="27">
        <v>9000838.5399999991</v>
      </c>
      <c r="J74" s="27">
        <v>3108165.33</v>
      </c>
      <c r="L74" s="72">
        <v>12</v>
      </c>
      <c r="M74" s="74">
        <f>C74+D74</f>
        <v>21570872.256999996</v>
      </c>
      <c r="N74" s="74">
        <f t="shared" si="87"/>
        <v>57133981.144000031</v>
      </c>
      <c r="O74" s="74">
        <f t="shared" si="88"/>
        <v>57209.56</v>
      </c>
      <c r="P74" s="74">
        <f t="shared" si="89"/>
        <v>12109003.869999999</v>
      </c>
      <c r="Q74" s="74">
        <f>(M74+O74)</f>
        <v>21628081.816999994</v>
      </c>
      <c r="R74" s="74">
        <f>(N74+P74)</f>
        <v>69242985.014000028</v>
      </c>
      <c r="S74" s="74">
        <f>SUM(Q63:Q74)/365</f>
        <v>753225.01572054776</v>
      </c>
      <c r="T74" s="74">
        <f>SUM(R63:R74)/365</f>
        <v>2569789.3241260266</v>
      </c>
      <c r="U74" s="72">
        <f t="shared" si="81"/>
        <v>9</v>
      </c>
      <c r="V74" s="76">
        <f>(Q71/Q59)-1</f>
        <v>-9.1529668707687195E-3</v>
      </c>
      <c r="W74" s="76">
        <f>(R71/R59)-1</f>
        <v>1.7511850292428743E-3</v>
      </c>
    </row>
    <row r="75" spans="1:23" x14ac:dyDescent="0.35">
      <c r="A75" s="167">
        <v>2025</v>
      </c>
      <c r="B75" s="27">
        <v>1</v>
      </c>
      <c r="C75" s="27">
        <v>12595232.245999994</v>
      </c>
      <c r="D75" s="27">
        <v>6857818.6990000037</v>
      </c>
      <c r="E75" s="27">
        <v>58854087.671999961</v>
      </c>
      <c r="F75" s="27">
        <v>134428.89000000001</v>
      </c>
      <c r="G75" s="27">
        <v>12718.68</v>
      </c>
      <c r="H75" s="27">
        <v>51909.5</v>
      </c>
      <c r="I75" s="27">
        <v>10494898.119999999</v>
      </c>
      <c r="J75" s="27">
        <v>2767348.92</v>
      </c>
      <c r="L75" s="142">
        <v>1</v>
      </c>
      <c r="M75" s="143">
        <f t="shared" si="86"/>
        <v>19453050.944999997</v>
      </c>
      <c r="N75" s="143">
        <f t="shared" si="87"/>
        <v>58988516.561999962</v>
      </c>
      <c r="O75" s="143">
        <f t="shared" si="88"/>
        <v>64628.18</v>
      </c>
      <c r="P75" s="143">
        <f>I75+J75</f>
        <v>13262247.039999999</v>
      </c>
      <c r="Q75" s="143">
        <f>(M75+O75)</f>
        <v>19517679.124999996</v>
      </c>
      <c r="R75" s="143">
        <f>(N75+P75)</f>
        <v>72250763.601999968</v>
      </c>
      <c r="U75" s="72">
        <f t="shared" si="81"/>
        <v>10</v>
      </c>
      <c r="V75" s="76">
        <f t="shared" si="79"/>
        <v>-1.5213673157840057E-3</v>
      </c>
      <c r="W75" s="76">
        <f t="shared" si="80"/>
        <v>3.1639508095240521E-2</v>
      </c>
    </row>
    <row r="76" spans="1:23" x14ac:dyDescent="0.35">
      <c r="A76" s="167"/>
      <c r="B76" s="27">
        <v>2</v>
      </c>
      <c r="C76" s="27">
        <v>12229647.930999987</v>
      </c>
      <c r="D76" s="27">
        <v>6665299.0500000063</v>
      </c>
      <c r="E76" s="27">
        <v>56502825.947000027</v>
      </c>
      <c r="F76" s="27">
        <v>113488.37999999996</v>
      </c>
      <c r="G76" s="27">
        <v>31125.03</v>
      </c>
      <c r="H76" s="27">
        <v>28236.06</v>
      </c>
      <c r="I76" s="27">
        <v>9193219.0899999999</v>
      </c>
      <c r="J76" s="27">
        <v>2272210.92</v>
      </c>
      <c r="L76" s="72">
        <v>2</v>
      </c>
      <c r="M76" s="74">
        <f t="shared" ref="M76:M84" si="92">C76+D76</f>
        <v>18894946.980999991</v>
      </c>
      <c r="N76" s="74">
        <f t="shared" ref="N76:N79" si="93">E76+F76</f>
        <v>56616314.327000029</v>
      </c>
      <c r="O76" s="74">
        <f t="shared" ref="O76:O79" si="94">G76+H76</f>
        <v>59361.09</v>
      </c>
      <c r="P76" s="74">
        <f t="shared" ref="P76:P79" si="95">I76+J76</f>
        <v>11465430.01</v>
      </c>
      <c r="Q76" s="74">
        <f t="shared" ref="Q76:Q79" si="96">(M76+O76)</f>
        <v>18954308.070999991</v>
      </c>
      <c r="R76" s="74">
        <f t="shared" ref="R76:R79" si="97">(N76+P76)</f>
        <v>68081744.337000027</v>
      </c>
      <c r="U76" s="72">
        <f t="shared" si="81"/>
        <v>11</v>
      </c>
      <c r="V76" s="76">
        <f t="shared" si="79"/>
        <v>6.9527677616221251E-3</v>
      </c>
      <c r="W76" s="76">
        <f t="shared" si="80"/>
        <v>-4.2104238961326201E-2</v>
      </c>
    </row>
    <row r="77" spans="1:23" x14ac:dyDescent="0.35">
      <c r="A77" s="167"/>
      <c r="B77" s="27">
        <v>3</v>
      </c>
      <c r="C77" s="27">
        <v>13434326.969000002</v>
      </c>
      <c r="D77" s="27">
        <v>7289921.3249999974</v>
      </c>
      <c r="E77" s="27">
        <v>61434984.491999954</v>
      </c>
      <c r="F77" s="27">
        <v>136128.51999999996</v>
      </c>
      <c r="G77" s="27">
        <v>31192.560000000001</v>
      </c>
      <c r="H77" s="27">
        <v>46381.24</v>
      </c>
      <c r="I77" s="27">
        <v>9964589.6899999976</v>
      </c>
      <c r="J77" s="27">
        <v>4716416.76</v>
      </c>
      <c r="L77" s="72">
        <v>3</v>
      </c>
      <c r="M77" s="74">
        <f t="shared" si="92"/>
        <v>20724248.294</v>
      </c>
      <c r="N77" s="74">
        <f>E77+F77</f>
        <v>61571113.011999957</v>
      </c>
      <c r="O77" s="74">
        <f t="shared" si="94"/>
        <v>77573.8</v>
      </c>
      <c r="P77" s="74">
        <f t="shared" si="95"/>
        <v>14681006.449999997</v>
      </c>
      <c r="Q77" s="74">
        <f t="shared" si="96"/>
        <v>20801822.094000001</v>
      </c>
      <c r="R77" s="74">
        <f t="shared" si="97"/>
        <v>76252119.461999953</v>
      </c>
      <c r="U77" s="72">
        <f t="shared" si="81"/>
        <v>12</v>
      </c>
      <c r="V77" s="76">
        <f t="shared" si="79"/>
        <v>-1.4608004421253429E-2</v>
      </c>
      <c r="W77" s="76">
        <f t="shared" si="80"/>
        <v>-4.7405515470109183E-2</v>
      </c>
    </row>
    <row r="78" spans="1:23" x14ac:dyDescent="0.35">
      <c r="A78" s="167"/>
      <c r="B78" s="27">
        <v>4</v>
      </c>
      <c r="C78" s="27">
        <v>14274019.942</v>
      </c>
      <c r="D78" s="27">
        <v>7940521.6519999811</v>
      </c>
      <c r="E78" s="27">
        <v>64702223.818000004</v>
      </c>
      <c r="F78" s="27">
        <v>285842.76300000009</v>
      </c>
      <c r="G78" s="27">
        <v>32324.58</v>
      </c>
      <c r="H78" s="27">
        <v>73530.3</v>
      </c>
      <c r="I78" s="27">
        <v>12143276.749999998</v>
      </c>
      <c r="J78" s="27">
        <v>9253933.1099999994</v>
      </c>
      <c r="L78" s="72">
        <v>4</v>
      </c>
      <c r="M78" s="74">
        <f t="shared" si="92"/>
        <v>22214541.593999982</v>
      </c>
      <c r="N78" s="74">
        <f>E78+F78</f>
        <v>64988066.581</v>
      </c>
      <c r="O78" s="74">
        <f t="shared" si="94"/>
        <v>105854.88</v>
      </c>
      <c r="P78" s="74">
        <f t="shared" si="95"/>
        <v>21397209.859999999</v>
      </c>
      <c r="Q78" s="74">
        <f t="shared" si="96"/>
        <v>22320396.473999981</v>
      </c>
      <c r="R78" s="74">
        <f t="shared" si="97"/>
        <v>86385276.441</v>
      </c>
      <c r="U78" s="78" t="s">
        <v>89</v>
      </c>
      <c r="V78" s="123">
        <f>(SUM(Q63:Q74)/SUM(Q51:Q62))-1</f>
        <v>5.9102479894883597E-3</v>
      </c>
      <c r="W78" s="123">
        <f>(SUM(R63:R74)/SUM(R51:R62))-1</f>
        <v>1.3069589491668809E-2</v>
      </c>
    </row>
    <row r="79" spans="1:23" x14ac:dyDescent="0.35">
      <c r="A79" s="167"/>
      <c r="B79" s="27">
        <v>5</v>
      </c>
      <c r="C79" s="27">
        <v>15675375.772999989</v>
      </c>
      <c r="D79" s="27">
        <v>9508905.1609999985</v>
      </c>
      <c r="E79" s="27">
        <v>64640484.960999981</v>
      </c>
      <c r="F79" s="27">
        <v>258368.41699999999</v>
      </c>
      <c r="G79" s="27">
        <v>27702.51</v>
      </c>
      <c r="H79" s="27">
        <v>79671.330000000016</v>
      </c>
      <c r="I79" s="27">
        <v>10751595.299999999</v>
      </c>
      <c r="J79" s="27">
        <v>7271123.1500000004</v>
      </c>
      <c r="L79" s="72">
        <v>5</v>
      </c>
      <c r="M79" s="74">
        <f t="shared" si="92"/>
        <v>25184280.933999985</v>
      </c>
      <c r="N79" s="74">
        <f t="shared" si="93"/>
        <v>64898853.377999984</v>
      </c>
      <c r="O79" s="74">
        <f t="shared" si="94"/>
        <v>107373.84000000001</v>
      </c>
      <c r="P79" s="74">
        <f t="shared" si="95"/>
        <v>18022718.449999999</v>
      </c>
      <c r="Q79" s="74">
        <f t="shared" si="96"/>
        <v>25291654.773999985</v>
      </c>
      <c r="R79" s="74">
        <f t="shared" si="97"/>
        <v>82921571.827999979</v>
      </c>
    </row>
    <row r="80" spans="1:23" x14ac:dyDescent="0.35">
      <c r="A80" s="167"/>
      <c r="B80" s="27">
        <v>6</v>
      </c>
      <c r="C80" s="27">
        <v>16440442.021000016</v>
      </c>
      <c r="D80" s="27">
        <v>9976768.5829999838</v>
      </c>
      <c r="E80" s="27">
        <v>61565688.491999991</v>
      </c>
      <c r="F80" s="27">
        <v>246415.12000000005</v>
      </c>
      <c r="G80" s="27">
        <v>24383.61</v>
      </c>
      <c r="H80" s="27">
        <v>88104.11</v>
      </c>
      <c r="I80" s="27">
        <v>8964585.4000000004</v>
      </c>
      <c r="J80" s="27">
        <v>6625966.9299999997</v>
      </c>
      <c r="L80" s="72">
        <v>6</v>
      </c>
      <c r="M80" s="74">
        <f>C80+D80</f>
        <v>26417210.604000002</v>
      </c>
      <c r="N80" s="74">
        <f t="shared" ref="N80:N83" si="98">E80+F80</f>
        <v>61812103.611999989</v>
      </c>
      <c r="O80" s="74">
        <f t="shared" ref="O80:O84" si="99">G80+H80</f>
        <v>112487.72</v>
      </c>
      <c r="P80" s="74">
        <f t="shared" ref="P80:P84" si="100">I80+J80</f>
        <v>15590552.33</v>
      </c>
      <c r="Q80" s="74">
        <f t="shared" ref="Q80:Q84" si="101">(M80+O80)</f>
        <v>26529698.324000001</v>
      </c>
      <c r="R80" s="74">
        <f t="shared" ref="R80:R84" si="102">(N80+P80)</f>
        <v>77402655.941999987</v>
      </c>
      <c r="U80" s="78" t="s">
        <v>41</v>
      </c>
      <c r="V80" s="168">
        <f>(SUM(Q63:R74)/SUM(Q51:R62))-1</f>
        <v>1.143786971918459E-2</v>
      </c>
      <c r="W80" s="168"/>
    </row>
    <row r="81" spans="1:20" x14ac:dyDescent="0.35">
      <c r="A81" s="167"/>
      <c r="B81" s="27">
        <v>7</v>
      </c>
      <c r="C81" s="27">
        <v>17083213.487999994</v>
      </c>
      <c r="D81" s="27">
        <v>10275363.564999992</v>
      </c>
      <c r="E81" s="27">
        <v>65984147.726999961</v>
      </c>
      <c r="F81" s="27">
        <v>254600.03999999995</v>
      </c>
      <c r="G81" s="27">
        <v>15886.28</v>
      </c>
      <c r="H81" s="27">
        <v>89208.13</v>
      </c>
      <c r="I81" s="27">
        <v>9669491.3999999985</v>
      </c>
      <c r="J81" s="27">
        <v>7079660.9699999997</v>
      </c>
      <c r="L81" s="72">
        <v>7</v>
      </c>
      <c r="M81" s="74">
        <f t="shared" si="92"/>
        <v>27358577.052999988</v>
      </c>
      <c r="N81" s="74">
        <f t="shared" si="98"/>
        <v>66238747.76699996</v>
      </c>
      <c r="O81" s="74">
        <f t="shared" si="99"/>
        <v>105094.41</v>
      </c>
      <c r="P81" s="74">
        <f t="shared" si="100"/>
        <v>16749152.369999997</v>
      </c>
      <c r="Q81" s="74">
        <f t="shared" si="101"/>
        <v>27463671.462999988</v>
      </c>
      <c r="R81" s="74">
        <f t="shared" si="102"/>
        <v>82987900.136999965</v>
      </c>
    </row>
    <row r="82" spans="1:20" x14ac:dyDescent="0.35">
      <c r="A82" s="167"/>
      <c r="B82" s="27">
        <v>8</v>
      </c>
      <c r="C82" s="27">
        <v>16691759.110999994</v>
      </c>
      <c r="D82" s="27">
        <v>9934574.620000001</v>
      </c>
      <c r="E82" s="27">
        <v>67284027.89199993</v>
      </c>
      <c r="F82" s="27">
        <v>518923.82999999984</v>
      </c>
      <c r="G82" s="27">
        <v>21791.71</v>
      </c>
      <c r="H82" s="27">
        <v>89344.760000000009</v>
      </c>
      <c r="I82" s="27">
        <v>10140985.280000001</v>
      </c>
      <c r="J82" s="27">
        <v>14124695.710000001</v>
      </c>
      <c r="L82" s="72">
        <v>8</v>
      </c>
      <c r="M82" s="74">
        <f t="shared" si="92"/>
        <v>26626333.730999995</v>
      </c>
      <c r="N82" s="74">
        <f t="shared" si="98"/>
        <v>67802951.721999928</v>
      </c>
      <c r="O82" s="74">
        <f t="shared" si="99"/>
        <v>111136.47</v>
      </c>
      <c r="P82" s="74">
        <f t="shared" si="100"/>
        <v>24265680.990000002</v>
      </c>
      <c r="Q82" s="74">
        <f t="shared" si="101"/>
        <v>26737470.200999994</v>
      </c>
      <c r="R82" s="74">
        <f t="shared" si="102"/>
        <v>92068632.711999923</v>
      </c>
    </row>
    <row r="83" spans="1:20" x14ac:dyDescent="0.35">
      <c r="A83" s="167"/>
      <c r="B83" s="27">
        <v>9</v>
      </c>
      <c r="C83" s="27">
        <v>15617403.356000004</v>
      </c>
      <c r="D83" s="27">
        <v>8861177.5089999977</v>
      </c>
      <c r="E83" s="27">
        <v>68116899.241999954</v>
      </c>
      <c r="F83" s="27">
        <v>442731.39000000025</v>
      </c>
      <c r="G83" s="27">
        <v>22669.61</v>
      </c>
      <c r="H83" s="27">
        <v>74230.98</v>
      </c>
      <c r="I83" s="27">
        <v>9602002.9300000016</v>
      </c>
      <c r="J83" s="27">
        <v>11472149.73</v>
      </c>
      <c r="L83" s="72">
        <v>9</v>
      </c>
      <c r="M83" s="74">
        <f t="shared" si="92"/>
        <v>24478580.865000002</v>
      </c>
      <c r="N83" s="74">
        <f t="shared" si="98"/>
        <v>68559630.631999955</v>
      </c>
      <c r="O83" s="74">
        <f t="shared" si="99"/>
        <v>96900.59</v>
      </c>
      <c r="P83" s="74">
        <f t="shared" si="100"/>
        <v>21074152.660000004</v>
      </c>
      <c r="Q83" s="74">
        <f t="shared" si="101"/>
        <v>24575481.455000002</v>
      </c>
      <c r="R83" s="74">
        <f t="shared" si="102"/>
        <v>89633783.291999966</v>
      </c>
    </row>
    <row r="84" spans="1:20" x14ac:dyDescent="0.35">
      <c r="A84" s="167"/>
      <c r="B84" s="27">
        <v>10</v>
      </c>
      <c r="C84" s="27">
        <v>14805629.805999996</v>
      </c>
      <c r="D84" s="27">
        <v>7655365.7710000025</v>
      </c>
      <c r="E84" s="27">
        <v>67618656.475000024</v>
      </c>
      <c r="F84" s="27">
        <v>222251.07699999996</v>
      </c>
      <c r="G84" s="27">
        <v>20883.48</v>
      </c>
      <c r="H84" s="27">
        <v>75546.39</v>
      </c>
      <c r="I84" s="27">
        <v>9881045.4299999978</v>
      </c>
      <c r="J84" s="27">
        <v>5773561.3600000003</v>
      </c>
      <c r="L84" s="72">
        <v>10</v>
      </c>
      <c r="M84" s="74">
        <f t="shared" si="92"/>
        <v>22460995.577</v>
      </c>
      <c r="N84" s="74">
        <f>E84+F84</f>
        <v>67840907.552000031</v>
      </c>
      <c r="O84" s="74">
        <f t="shared" si="99"/>
        <v>96429.87</v>
      </c>
      <c r="P84" s="74">
        <f t="shared" si="100"/>
        <v>15654606.789999999</v>
      </c>
      <c r="Q84" s="74">
        <f t="shared" si="101"/>
        <v>22557425.447000001</v>
      </c>
      <c r="R84" s="74">
        <f t="shared" si="102"/>
        <v>83495514.342000037</v>
      </c>
    </row>
    <row r="85" spans="1:20" x14ac:dyDescent="0.35">
      <c r="A85" s="167"/>
      <c r="B85" s="27">
        <v>11</v>
      </c>
      <c r="C85" s="27">
        <v>14057827.453000002</v>
      </c>
      <c r="D85" s="27">
        <v>6970492.6249999953</v>
      </c>
      <c r="E85" s="27">
        <v>62523334.242000051</v>
      </c>
      <c r="F85" s="27">
        <v>185870.12</v>
      </c>
      <c r="G85" s="27">
        <v>18228.04</v>
      </c>
      <c r="H85" s="27">
        <v>72518.5</v>
      </c>
      <c r="I85" s="27">
        <v>10609827.75</v>
      </c>
      <c r="J85" s="27">
        <v>3751341.39</v>
      </c>
      <c r="L85" s="72">
        <v>11</v>
      </c>
      <c r="M85" s="74">
        <f>C85+D85</f>
        <v>21028320.077999998</v>
      </c>
      <c r="N85" s="74">
        <f t="shared" ref="N85" si="103">E85+F85</f>
        <v>62709204.362000048</v>
      </c>
      <c r="O85" s="74">
        <f t="shared" ref="O85:O86" si="104">G85+H85</f>
        <v>90746.540000000008</v>
      </c>
      <c r="P85" s="74">
        <f t="shared" ref="P85:P86" si="105">I85+J85</f>
        <v>14361169.140000001</v>
      </c>
      <c r="Q85" s="74">
        <f t="shared" ref="Q85" si="106">(M85+O85)</f>
        <v>21119066.617999997</v>
      </c>
      <c r="R85" s="74">
        <f t="shared" ref="R85" si="107">(N85+P85)</f>
        <v>77070373.502000049</v>
      </c>
    </row>
    <row r="86" spans="1:20" ht="15" thickBot="1" x14ac:dyDescent="0.4">
      <c r="A86" s="167"/>
      <c r="B86" s="27">
        <v>12</v>
      </c>
      <c r="C86" s="27">
        <v>14562037.659000009</v>
      </c>
      <c r="D86" s="27">
        <v>7458726.5530000012</v>
      </c>
      <c r="E86" s="27">
        <v>60097866.199000053</v>
      </c>
      <c r="F86" s="27">
        <v>122148.36999999995</v>
      </c>
      <c r="G86" s="27">
        <v>15218.35</v>
      </c>
      <c r="H86" s="27">
        <v>79033.75</v>
      </c>
      <c r="I86" s="27">
        <v>9606826.910000002</v>
      </c>
      <c r="J86" s="27">
        <v>3365875.33</v>
      </c>
      <c r="L86" s="144">
        <v>12</v>
      </c>
      <c r="M86" s="145">
        <f t="shared" ref="M86" si="108">C86+D86</f>
        <v>22020764.212000012</v>
      </c>
      <c r="N86" s="145">
        <f>E86+F86</f>
        <v>60220014.56900005</v>
      </c>
      <c r="O86" s="145">
        <f t="shared" si="104"/>
        <v>94252.1</v>
      </c>
      <c r="P86" s="145">
        <f t="shared" si="105"/>
        <v>12972702.240000002</v>
      </c>
      <c r="Q86" s="145">
        <f>(M86+O86)</f>
        <v>22115016.312000014</v>
      </c>
      <c r="R86" s="145">
        <f>(N86+P86)</f>
        <v>73192716.809000045</v>
      </c>
      <c r="S86" s="74">
        <f>SUM(Q75:Q86)/365</f>
        <v>761599.15166575334</v>
      </c>
      <c r="T86" s="74">
        <f>SUM(R75:R86)/365</f>
        <v>2634912.472345205</v>
      </c>
    </row>
    <row r="87" spans="1:20" x14ac:dyDescent="0.35">
      <c r="A87" s="167">
        <v>2026</v>
      </c>
      <c r="B87" s="146">
        <v>1</v>
      </c>
      <c r="C87" s="146">
        <v>14073814.34400001</v>
      </c>
      <c r="D87" s="146">
        <v>7942471.6969999885</v>
      </c>
      <c r="E87" s="146">
        <v>66643537.991999991</v>
      </c>
      <c r="F87" s="146">
        <v>157827.69399999999</v>
      </c>
      <c r="G87" s="146">
        <v>12899.57</v>
      </c>
      <c r="H87" s="146">
        <v>96570.23000000001</v>
      </c>
      <c r="I87" s="146">
        <v>12061179.619999999</v>
      </c>
      <c r="J87" s="146">
        <v>3154517.92</v>
      </c>
      <c r="L87" s="142">
        <v>1</v>
      </c>
      <c r="M87" s="143">
        <f>C87+D87</f>
        <v>22016286.040999997</v>
      </c>
      <c r="N87" s="143">
        <f>E87+F87</f>
        <v>66801365.68599999</v>
      </c>
      <c r="O87" s="143">
        <f>G87+H87</f>
        <v>109469.80000000002</v>
      </c>
      <c r="P87" s="143">
        <f>I87+J87</f>
        <v>15215697.539999999</v>
      </c>
      <c r="Q87" s="143">
        <f>(M87+O87)</f>
        <v>22125755.840999998</v>
      </c>
      <c r="R87" s="143">
        <f>(N87+P87)</f>
        <v>82017063.225999981</v>
      </c>
    </row>
    <row r="88" spans="1:20" x14ac:dyDescent="0.35">
      <c r="A88" s="167"/>
      <c r="B88" s="146">
        <v>2</v>
      </c>
      <c r="C88" s="146">
        <v>12892658.574999997</v>
      </c>
      <c r="D88" s="146">
        <v>7344117.6479999907</v>
      </c>
      <c r="E88" s="146">
        <v>60735392.296999902</v>
      </c>
      <c r="F88" s="146">
        <v>121468.94499999998</v>
      </c>
      <c r="G88" s="146">
        <v>22814.25</v>
      </c>
      <c r="H88" s="146">
        <v>83766.320000000007</v>
      </c>
      <c r="I88" s="146">
        <v>11667486.809999999</v>
      </c>
      <c r="J88" s="146">
        <v>2748597.46</v>
      </c>
      <c r="L88" s="72">
        <v>2</v>
      </c>
      <c r="M88" s="74">
        <f t="shared" ref="M88:M89" si="109">C88+D88</f>
        <v>20236776.22299999</v>
      </c>
      <c r="N88" s="74">
        <f t="shared" ref="N88:N89" si="110">E88+F88</f>
        <v>60856861.241999902</v>
      </c>
      <c r="O88" s="74">
        <f t="shared" ref="O88:O89" si="111">G88+H88</f>
        <v>106580.57</v>
      </c>
      <c r="P88" s="74">
        <f t="shared" ref="P88:P89" si="112">I88+J88</f>
        <v>14416084.27</v>
      </c>
      <c r="Q88" s="74">
        <f t="shared" ref="Q88:Q89" si="113">(M88+O88)</f>
        <v>20343356.79299999</v>
      </c>
      <c r="R88" s="74">
        <f t="shared" ref="R88:R89" si="114">(N88+P88)</f>
        <v>75272945.511999905</v>
      </c>
    </row>
    <row r="89" spans="1:20" x14ac:dyDescent="0.35">
      <c r="A89" s="167"/>
      <c r="B89" s="146">
        <v>3</v>
      </c>
      <c r="C89" s="146">
        <v>14064277.905000022</v>
      </c>
      <c r="D89" s="146">
        <v>7945957.6110000042</v>
      </c>
      <c r="E89" s="146">
        <v>64024908.155999936</v>
      </c>
      <c r="F89" s="146">
        <v>273789.4910000001</v>
      </c>
      <c r="G89" s="146">
        <v>29360.080000000002</v>
      </c>
      <c r="H89" s="146">
        <v>109622.68999999999</v>
      </c>
      <c r="I89" s="146">
        <v>10085006.129999997</v>
      </c>
      <c r="J89" s="146">
        <v>7532961.9100000001</v>
      </c>
      <c r="L89" s="72">
        <v>3</v>
      </c>
      <c r="M89" s="74">
        <f t="shared" si="109"/>
        <v>22010235.516000025</v>
      </c>
      <c r="N89" s="74">
        <f t="shared" si="110"/>
        <v>64298697.646999933</v>
      </c>
      <c r="O89" s="74">
        <f t="shared" si="111"/>
        <v>138982.76999999999</v>
      </c>
      <c r="P89" s="74">
        <f t="shared" si="112"/>
        <v>17617968.039999999</v>
      </c>
      <c r="Q89" s="74">
        <f t="shared" si="113"/>
        <v>22149218.286000025</v>
      </c>
      <c r="R89" s="74">
        <f t="shared" si="114"/>
        <v>81916665.686999932</v>
      </c>
    </row>
    <row r="90" spans="1:20" x14ac:dyDescent="0.35">
      <c r="A90" s="167"/>
      <c r="B90" s="27">
        <v>4</v>
      </c>
      <c r="C90" s="27"/>
      <c r="L90" s="72">
        <v>4</v>
      </c>
    </row>
    <row r="91" spans="1:20" x14ac:dyDescent="0.35">
      <c r="A91" s="167"/>
      <c r="B91" s="27">
        <v>5</v>
      </c>
      <c r="C91" s="27"/>
      <c r="L91" s="72">
        <v>5</v>
      </c>
    </row>
    <row r="92" spans="1:20" x14ac:dyDescent="0.35">
      <c r="A92" s="167"/>
      <c r="B92" s="27">
        <v>6</v>
      </c>
      <c r="C92" s="27"/>
      <c r="L92" s="72">
        <v>6</v>
      </c>
    </row>
    <row r="93" spans="1:20" x14ac:dyDescent="0.35">
      <c r="A93" s="167"/>
      <c r="B93" s="27">
        <v>7</v>
      </c>
      <c r="C93" s="27"/>
      <c r="L93" s="72">
        <v>7</v>
      </c>
    </row>
    <row r="94" spans="1:20" x14ac:dyDescent="0.35">
      <c r="A94" s="167"/>
      <c r="B94" s="27">
        <v>8</v>
      </c>
      <c r="C94" s="27"/>
      <c r="L94" s="72">
        <v>8</v>
      </c>
    </row>
    <row r="95" spans="1:20" x14ac:dyDescent="0.35">
      <c r="A95" s="167"/>
      <c r="B95" s="27">
        <v>9</v>
      </c>
      <c r="C95" s="27"/>
      <c r="L95" s="72">
        <v>9</v>
      </c>
    </row>
    <row r="96" spans="1:20" x14ac:dyDescent="0.35">
      <c r="A96" s="167"/>
      <c r="B96" s="27">
        <v>10</v>
      </c>
      <c r="C96" s="27"/>
      <c r="L96" s="72">
        <v>10</v>
      </c>
    </row>
    <row r="97" spans="1:12" x14ac:dyDescent="0.35">
      <c r="A97" s="167"/>
      <c r="B97" s="27">
        <v>11</v>
      </c>
      <c r="C97" s="27"/>
      <c r="L97" s="72">
        <v>11</v>
      </c>
    </row>
    <row r="98" spans="1:12" ht="15" thickBot="1" x14ac:dyDescent="0.4">
      <c r="A98" s="167"/>
      <c r="B98" s="27">
        <v>12</v>
      </c>
      <c r="C98" s="27"/>
      <c r="L98" s="144">
        <v>12</v>
      </c>
    </row>
  </sheetData>
  <mergeCells count="31">
    <mergeCell ref="V63:W63"/>
    <mergeCell ref="V64:W64"/>
    <mergeCell ref="V43:W43"/>
    <mergeCell ref="V44:W44"/>
    <mergeCell ref="V60:W60"/>
    <mergeCell ref="A39:A50"/>
    <mergeCell ref="V41:W41"/>
    <mergeCell ref="A51:A62"/>
    <mergeCell ref="C1:F1"/>
    <mergeCell ref="G1:J1"/>
    <mergeCell ref="M1:N1"/>
    <mergeCell ref="V5:W5"/>
    <mergeCell ref="V6:W6"/>
    <mergeCell ref="O1:P1"/>
    <mergeCell ref="Q1:R1"/>
    <mergeCell ref="A87:A98"/>
    <mergeCell ref="V80:W80"/>
    <mergeCell ref="A63:A74"/>
    <mergeCell ref="AF7:AG7"/>
    <mergeCell ref="V22:W22"/>
    <mergeCell ref="V24:W24"/>
    <mergeCell ref="V25:W25"/>
    <mergeCell ref="AB7:AC7"/>
    <mergeCell ref="AD7:AE7"/>
    <mergeCell ref="X10:Y11"/>
    <mergeCell ref="X12:Y14"/>
    <mergeCell ref="X18:Y19"/>
    <mergeCell ref="A15:A26"/>
    <mergeCell ref="A27:A38"/>
    <mergeCell ref="A3:A14"/>
    <mergeCell ref="A75:A86"/>
  </mergeCells>
  <conditionalFormatting sqref="V9:W20 V22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9:W20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9:W2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3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39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4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9:W39 V41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5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5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6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58:W58 V6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7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7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8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78:W78 V8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scale="2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E60C-360A-FC44-926D-A8E585E1BFC2}">
  <dimension ref="A1:Q38"/>
  <sheetViews>
    <sheetView zoomScale="130" zoomScaleNormal="130" workbookViewId="0">
      <selection activeCell="A15" sqref="A15"/>
    </sheetView>
  </sheetViews>
  <sheetFormatPr defaultColWidth="8.54296875" defaultRowHeight="14.5" x14ac:dyDescent="0.35"/>
  <cols>
    <col min="1" max="1" width="40.54296875" customWidth="1"/>
    <col min="2" max="2" width="15.1796875" customWidth="1"/>
    <col min="3" max="3" width="20.54296875" customWidth="1"/>
    <col min="4" max="4" width="9.54296875" customWidth="1"/>
    <col min="5" max="5" width="11.1796875" customWidth="1"/>
    <col min="6" max="6" width="8.1796875" customWidth="1"/>
    <col min="7" max="7" width="7.54296875" customWidth="1"/>
    <col min="8" max="8" width="6.1796875" customWidth="1"/>
    <col min="9" max="9" width="7.54296875" customWidth="1"/>
    <col min="10" max="10" width="7.1796875" customWidth="1"/>
    <col min="11" max="11" width="9.1796875" customWidth="1"/>
    <col min="12" max="12" width="12.54296875" customWidth="1"/>
    <col min="13" max="13" width="11.1796875" customWidth="1"/>
    <col min="14" max="14" width="12.1796875" customWidth="1"/>
    <col min="15" max="15" width="12.54296875" customWidth="1"/>
  </cols>
  <sheetData>
    <row r="1" spans="1:17" ht="18.5" x14ac:dyDescent="0.45">
      <c r="A1" s="115" t="s">
        <v>113</v>
      </c>
    </row>
    <row r="3" spans="1:17" x14ac:dyDescent="0.35">
      <c r="D3" s="116" t="s">
        <v>114</v>
      </c>
      <c r="E3" s="116" t="s">
        <v>115</v>
      </c>
      <c r="F3" s="116" t="s">
        <v>116</v>
      </c>
      <c r="G3" s="116" t="s">
        <v>117</v>
      </c>
      <c r="H3" s="116" t="s">
        <v>118</v>
      </c>
      <c r="I3" s="116" t="s">
        <v>119</v>
      </c>
      <c r="J3" s="116" t="s">
        <v>120</v>
      </c>
      <c r="K3" s="116" t="s">
        <v>121</v>
      </c>
      <c r="L3" s="116" t="s">
        <v>122</v>
      </c>
      <c r="M3" s="116" t="s">
        <v>123</v>
      </c>
      <c r="N3" s="116" t="s">
        <v>124</v>
      </c>
      <c r="O3" s="116" t="s">
        <v>125</v>
      </c>
      <c r="P3" s="122" t="s">
        <v>126</v>
      </c>
    </row>
    <row r="4" spans="1:17" x14ac:dyDescent="0.35">
      <c r="A4" s="116" t="s">
        <v>127</v>
      </c>
      <c r="B4" s="116" t="s">
        <v>128</v>
      </c>
      <c r="C4" s="116" t="s">
        <v>129</v>
      </c>
      <c r="D4" s="117">
        <v>31</v>
      </c>
      <c r="E4" s="117">
        <v>23</v>
      </c>
      <c r="F4" s="117">
        <v>23</v>
      </c>
      <c r="G4" s="117">
        <v>17</v>
      </c>
      <c r="H4" s="117">
        <v>22</v>
      </c>
      <c r="I4" s="117">
        <v>23</v>
      </c>
      <c r="J4" s="117">
        <v>22</v>
      </c>
      <c r="K4" s="117">
        <v>23</v>
      </c>
      <c r="L4" s="117">
        <v>19</v>
      </c>
      <c r="M4" s="117">
        <v>19</v>
      </c>
      <c r="N4" s="117">
        <v>18</v>
      </c>
      <c r="O4" s="117">
        <v>20</v>
      </c>
      <c r="P4" s="120">
        <f>SUM(D4:O4)</f>
        <v>260</v>
      </c>
      <c r="Q4" s="117"/>
    </row>
    <row r="5" spans="1:17" x14ac:dyDescent="0.35">
      <c r="C5" s="116" t="s">
        <v>130</v>
      </c>
      <c r="D5" s="117">
        <v>60</v>
      </c>
      <c r="E5" s="117">
        <v>69</v>
      </c>
      <c r="F5" s="117">
        <v>54</v>
      </c>
      <c r="G5" s="117">
        <v>39</v>
      </c>
      <c r="H5" s="117">
        <v>56</v>
      </c>
      <c r="I5" s="117">
        <v>56</v>
      </c>
      <c r="J5" s="117">
        <v>50</v>
      </c>
      <c r="K5" s="117">
        <v>62</v>
      </c>
      <c r="L5" s="117">
        <v>57</v>
      </c>
      <c r="M5" s="117">
        <v>56</v>
      </c>
      <c r="N5" s="117">
        <v>51</v>
      </c>
      <c r="O5" s="117">
        <v>50</v>
      </c>
      <c r="P5" s="120">
        <f t="shared" ref="P5:P13" si="0">SUM(D5:O5)</f>
        <v>660</v>
      </c>
    </row>
    <row r="6" spans="1:17" x14ac:dyDescent="0.35">
      <c r="A6" s="116" t="s">
        <v>131</v>
      </c>
      <c r="B6" s="116" t="s">
        <v>128</v>
      </c>
      <c r="C6" s="116" t="s">
        <v>129</v>
      </c>
      <c r="D6" s="117">
        <v>18</v>
      </c>
      <c r="E6" s="117">
        <v>21</v>
      </c>
      <c r="F6" s="117">
        <v>21</v>
      </c>
      <c r="G6" s="117">
        <v>19</v>
      </c>
      <c r="H6" s="117">
        <v>24</v>
      </c>
      <c r="I6" s="117">
        <v>25</v>
      </c>
      <c r="J6" s="117">
        <v>24</v>
      </c>
      <c r="K6" s="117">
        <v>25</v>
      </c>
      <c r="L6" s="117">
        <v>18</v>
      </c>
      <c r="M6" s="117">
        <v>18</v>
      </c>
      <c r="N6" s="117">
        <v>17</v>
      </c>
      <c r="O6" s="117">
        <v>24</v>
      </c>
      <c r="P6" s="120">
        <f t="shared" si="0"/>
        <v>254</v>
      </c>
    </row>
    <row r="7" spans="1:17" x14ac:dyDescent="0.35">
      <c r="C7" s="116" t="s">
        <v>130</v>
      </c>
      <c r="D7" s="117">
        <v>51</v>
      </c>
      <c r="E7" s="117">
        <v>56</v>
      </c>
      <c r="F7" s="117">
        <v>51</v>
      </c>
      <c r="G7" s="117">
        <v>51</v>
      </c>
      <c r="H7" s="117">
        <v>59</v>
      </c>
      <c r="I7" s="117">
        <v>62</v>
      </c>
      <c r="J7" s="117">
        <v>67</v>
      </c>
      <c r="K7" s="117">
        <v>65</v>
      </c>
      <c r="L7" s="117">
        <v>59</v>
      </c>
      <c r="M7" s="117">
        <v>55</v>
      </c>
      <c r="N7" s="117">
        <v>55</v>
      </c>
      <c r="O7" s="117">
        <v>53</v>
      </c>
      <c r="P7" s="120">
        <f t="shared" si="0"/>
        <v>684</v>
      </c>
    </row>
    <row r="8" spans="1:17" x14ac:dyDescent="0.35">
      <c r="A8" s="116" t="s">
        <v>68</v>
      </c>
      <c r="B8" s="116" t="s">
        <v>128</v>
      </c>
      <c r="C8" s="116" t="s">
        <v>129</v>
      </c>
      <c r="D8" s="117">
        <v>26</v>
      </c>
      <c r="E8" s="117">
        <v>15</v>
      </c>
      <c r="F8" s="117">
        <v>18</v>
      </c>
      <c r="G8" s="117">
        <v>17</v>
      </c>
      <c r="H8" s="117">
        <v>20</v>
      </c>
      <c r="I8" s="117">
        <v>21</v>
      </c>
      <c r="J8" s="117">
        <v>21</v>
      </c>
      <c r="K8" s="117">
        <v>21</v>
      </c>
      <c r="L8" s="117">
        <v>18</v>
      </c>
      <c r="M8" s="117">
        <v>17</v>
      </c>
      <c r="N8" s="117">
        <v>16</v>
      </c>
      <c r="O8" s="117">
        <v>16</v>
      </c>
      <c r="P8" s="120">
        <f t="shared" si="0"/>
        <v>226</v>
      </c>
    </row>
    <row r="9" spans="1:17" x14ac:dyDescent="0.35">
      <c r="C9" s="116" t="s">
        <v>130</v>
      </c>
      <c r="D9" s="117">
        <v>41</v>
      </c>
      <c r="E9" s="117">
        <v>50</v>
      </c>
      <c r="F9" s="117">
        <v>55</v>
      </c>
      <c r="G9" s="117">
        <v>57</v>
      </c>
      <c r="H9" s="117">
        <v>60</v>
      </c>
      <c r="I9" s="117">
        <v>56</v>
      </c>
      <c r="J9" s="117">
        <v>63</v>
      </c>
      <c r="K9" s="117">
        <v>67</v>
      </c>
      <c r="L9" s="117">
        <v>61</v>
      </c>
      <c r="M9" s="117">
        <v>58</v>
      </c>
      <c r="N9" s="117">
        <v>54</v>
      </c>
      <c r="O9" s="117">
        <v>48</v>
      </c>
      <c r="P9" s="120">
        <f t="shared" si="0"/>
        <v>670</v>
      </c>
    </row>
    <row r="10" spans="1:17" x14ac:dyDescent="0.35">
      <c r="A10" s="116" t="s">
        <v>87</v>
      </c>
      <c r="B10" s="116" t="s">
        <v>128</v>
      </c>
      <c r="C10" s="116" t="s">
        <v>129</v>
      </c>
      <c r="D10" s="117">
        <v>15</v>
      </c>
      <c r="E10" s="117">
        <v>15</v>
      </c>
      <c r="F10" s="117">
        <v>14</v>
      </c>
      <c r="G10" s="117">
        <v>12</v>
      </c>
      <c r="H10" s="117">
        <v>18</v>
      </c>
      <c r="I10" s="117">
        <v>20</v>
      </c>
      <c r="J10" s="117">
        <v>22</v>
      </c>
      <c r="K10" s="117">
        <v>21</v>
      </c>
      <c r="L10" s="117">
        <v>19</v>
      </c>
      <c r="M10" s="117">
        <v>18</v>
      </c>
      <c r="N10" s="117">
        <v>16</v>
      </c>
      <c r="O10" s="117">
        <v>16</v>
      </c>
      <c r="P10" s="120">
        <f t="shared" si="0"/>
        <v>206</v>
      </c>
      <c r="Q10" s="117">
        <f>'KE0230'!C7+'KE0230'!H7</f>
        <v>213</v>
      </c>
    </row>
    <row r="11" spans="1:17" x14ac:dyDescent="0.35">
      <c r="C11" s="116" t="s">
        <v>130</v>
      </c>
      <c r="D11" s="117">
        <v>49</v>
      </c>
      <c r="E11" s="117">
        <v>49</v>
      </c>
      <c r="F11" s="117">
        <v>54</v>
      </c>
      <c r="G11" s="117">
        <v>51</v>
      </c>
      <c r="H11" s="117">
        <v>63</v>
      </c>
      <c r="I11" s="117">
        <v>59</v>
      </c>
      <c r="J11" s="117">
        <v>66</v>
      </c>
      <c r="K11" s="117">
        <v>72</v>
      </c>
      <c r="L11" s="117">
        <v>69</v>
      </c>
      <c r="M11" s="117">
        <v>64</v>
      </c>
      <c r="N11" s="117">
        <v>60</v>
      </c>
      <c r="O11" s="117">
        <v>58</v>
      </c>
      <c r="P11" s="120">
        <f t="shared" si="0"/>
        <v>714</v>
      </c>
      <c r="Q11" s="117">
        <f>'KE0230'!E7+'KE0230'!J7</f>
        <v>684</v>
      </c>
    </row>
    <row r="12" spans="1:17" x14ac:dyDescent="0.35">
      <c r="A12" s="116" t="s">
        <v>91</v>
      </c>
      <c r="B12" s="116" t="s">
        <v>128</v>
      </c>
      <c r="C12" s="116" t="s">
        <v>129</v>
      </c>
      <c r="D12" s="117">
        <v>14</v>
      </c>
      <c r="E12" s="117">
        <v>14</v>
      </c>
      <c r="F12" s="117">
        <v>14</v>
      </c>
      <c r="G12" s="117">
        <v>15</v>
      </c>
      <c r="H12" s="117">
        <v>19</v>
      </c>
      <c r="I12" s="117">
        <v>21</v>
      </c>
      <c r="J12" s="117">
        <v>22</v>
      </c>
      <c r="K12" s="118" t="s">
        <v>132</v>
      </c>
      <c r="L12" s="118" t="s">
        <v>132</v>
      </c>
      <c r="M12" s="118" t="s">
        <v>132</v>
      </c>
      <c r="N12" s="118" t="s">
        <v>132</v>
      </c>
      <c r="O12" s="118" t="s">
        <v>132</v>
      </c>
      <c r="P12" s="121">
        <f t="shared" si="0"/>
        <v>119</v>
      </c>
    </row>
    <row r="13" spans="1:17" x14ac:dyDescent="0.35">
      <c r="C13" s="116" t="s">
        <v>130</v>
      </c>
      <c r="D13" s="117">
        <v>54</v>
      </c>
      <c r="E13" s="117">
        <v>56</v>
      </c>
      <c r="F13" s="117">
        <v>58</v>
      </c>
      <c r="G13" s="117">
        <v>62</v>
      </c>
      <c r="H13" s="117">
        <v>65</v>
      </c>
      <c r="I13" s="117">
        <v>65</v>
      </c>
      <c r="J13" s="117">
        <v>74</v>
      </c>
      <c r="K13" s="118" t="s">
        <v>132</v>
      </c>
      <c r="L13" s="118" t="s">
        <v>132</v>
      </c>
      <c r="M13" s="118" t="s">
        <v>132</v>
      </c>
      <c r="N13" s="118" t="s">
        <v>132</v>
      </c>
      <c r="O13" s="118" t="s">
        <v>132</v>
      </c>
      <c r="P13" s="121">
        <f t="shared" si="0"/>
        <v>434</v>
      </c>
    </row>
    <row r="15" spans="1:17" ht="101.5" x14ac:dyDescent="0.35">
      <c r="A15" s="119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20" spans="1:1" x14ac:dyDescent="0.35">
      <c r="A20" t="s">
        <v>1</v>
      </c>
    </row>
    <row r="21" spans="1:1" x14ac:dyDescent="0.35">
      <c r="A21" t="s">
        <v>136</v>
      </c>
    </row>
    <row r="24" spans="1:1" x14ac:dyDescent="0.35">
      <c r="A24" t="s">
        <v>137</v>
      </c>
    </row>
    <row r="26" spans="1:1" x14ac:dyDescent="0.35">
      <c r="A26" t="s">
        <v>138</v>
      </c>
    </row>
    <row r="27" spans="1:1" x14ac:dyDescent="0.35">
      <c r="A27" t="s">
        <v>139</v>
      </c>
    </row>
    <row r="37" spans="1:1" x14ac:dyDescent="0.35">
      <c r="A37" t="s">
        <v>140</v>
      </c>
    </row>
    <row r="38" spans="1:1" x14ac:dyDescent="0.35">
      <c r="A38" t="s">
        <v>141</v>
      </c>
    </row>
  </sheetData>
  <pageMargins left="0.75" right="0.75" top="0.75" bottom="0.5" header="0.5" footer="0.7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598F-B1E8-554A-BE53-B90E4ED2376A}">
  <dimension ref="A1:J32"/>
  <sheetViews>
    <sheetView workbookViewId="0">
      <selection activeCell="H7" activeCellId="1" sqref="C7 H7"/>
    </sheetView>
  </sheetViews>
  <sheetFormatPr defaultColWidth="8.54296875" defaultRowHeight="14.5" x14ac:dyDescent="0.35"/>
  <cols>
    <col min="1" max="1" width="40.54296875" style="90" customWidth="1"/>
    <col min="2" max="2" width="21.1796875" style="90" customWidth="1"/>
    <col min="3" max="3" width="45.54296875" style="90" customWidth="1"/>
    <col min="4" max="5" width="40.54296875" style="90" customWidth="1"/>
    <col min="6" max="6" width="22.1796875" style="90" customWidth="1"/>
    <col min="7" max="7" width="25" style="90" customWidth="1"/>
    <col min="8" max="8" width="24.54296875" style="90" customWidth="1"/>
    <col min="9" max="9" width="23.1796875" style="90" customWidth="1"/>
    <col min="10" max="10" width="23" style="90" customWidth="1"/>
    <col min="11" max="16384" width="8.54296875" style="90"/>
  </cols>
  <sheetData>
    <row r="1" spans="1:10" ht="18.5" x14ac:dyDescent="0.45">
      <c r="A1" s="89" t="s">
        <v>142</v>
      </c>
    </row>
    <row r="3" spans="1:10" x14ac:dyDescent="0.35">
      <c r="C3" s="91" t="s">
        <v>143</v>
      </c>
      <c r="D3" s="91" t="s">
        <v>144</v>
      </c>
      <c r="E3" s="91" t="s">
        <v>145</v>
      </c>
      <c r="F3" s="91" t="s">
        <v>146</v>
      </c>
      <c r="G3" s="91" t="s">
        <v>147</v>
      </c>
      <c r="H3" s="91" t="s">
        <v>148</v>
      </c>
      <c r="I3" s="91" t="s">
        <v>149</v>
      </c>
      <c r="J3" s="91" t="s">
        <v>150</v>
      </c>
    </row>
    <row r="4" spans="1:10" x14ac:dyDescent="0.35">
      <c r="A4" s="91" t="s">
        <v>127</v>
      </c>
      <c r="B4" s="91" t="s">
        <v>151</v>
      </c>
      <c r="C4" s="92">
        <v>260</v>
      </c>
      <c r="D4" s="92">
        <v>59</v>
      </c>
      <c r="E4" s="92">
        <v>643</v>
      </c>
      <c r="F4" s="92">
        <v>11</v>
      </c>
      <c r="G4" s="92">
        <v>0</v>
      </c>
      <c r="H4" s="92">
        <v>2</v>
      </c>
      <c r="I4" s="92">
        <v>0</v>
      </c>
      <c r="J4" s="92">
        <v>2</v>
      </c>
    </row>
    <row r="5" spans="1:10" x14ac:dyDescent="0.35">
      <c r="A5" s="91" t="s">
        <v>131</v>
      </c>
      <c r="B5" s="91" t="s">
        <v>151</v>
      </c>
      <c r="C5" s="92">
        <v>261</v>
      </c>
      <c r="D5" s="92">
        <v>69</v>
      </c>
      <c r="E5" s="92">
        <v>703</v>
      </c>
      <c r="F5" s="92">
        <v>9</v>
      </c>
      <c r="G5" s="92">
        <v>0</v>
      </c>
      <c r="H5" s="92">
        <v>8</v>
      </c>
      <c r="I5" s="92">
        <v>0</v>
      </c>
      <c r="J5" s="92">
        <v>14</v>
      </c>
    </row>
    <row r="6" spans="1:10" x14ac:dyDescent="0.35">
      <c r="A6" s="91" t="s">
        <v>68</v>
      </c>
      <c r="B6" s="91" t="s">
        <v>151</v>
      </c>
      <c r="C6" s="92">
        <v>263</v>
      </c>
      <c r="D6" s="92">
        <v>68</v>
      </c>
      <c r="E6" s="92">
        <v>658</v>
      </c>
      <c r="F6" s="92">
        <v>15</v>
      </c>
      <c r="G6" s="92">
        <v>0</v>
      </c>
      <c r="H6" s="92">
        <v>11</v>
      </c>
      <c r="I6" s="92">
        <v>0</v>
      </c>
      <c r="J6" s="92">
        <v>21</v>
      </c>
    </row>
    <row r="7" spans="1:10" x14ac:dyDescent="0.35">
      <c r="A7" s="91" t="s">
        <v>87</v>
      </c>
      <c r="B7" s="91" t="s">
        <v>151</v>
      </c>
      <c r="C7" s="92">
        <v>206</v>
      </c>
      <c r="D7" s="92">
        <v>25</v>
      </c>
      <c r="E7" s="92">
        <v>665</v>
      </c>
      <c r="F7" s="92">
        <v>1</v>
      </c>
      <c r="G7" s="92">
        <v>0</v>
      </c>
      <c r="H7" s="92">
        <v>7</v>
      </c>
      <c r="I7" s="92">
        <v>0</v>
      </c>
      <c r="J7" s="92">
        <v>19</v>
      </c>
    </row>
    <row r="9" spans="1:10" ht="246.5" x14ac:dyDescent="0.35">
      <c r="A9" s="93" t="s">
        <v>152</v>
      </c>
    </row>
    <row r="11" spans="1:10" x14ac:dyDescent="0.35">
      <c r="A11" s="90" t="s">
        <v>134</v>
      </c>
    </row>
    <row r="12" spans="1:10" x14ac:dyDescent="0.35">
      <c r="A12" s="90" t="s">
        <v>135</v>
      </c>
    </row>
    <row r="14" spans="1:10" x14ac:dyDescent="0.35">
      <c r="A14" s="90" t="s">
        <v>1</v>
      </c>
    </row>
    <row r="15" spans="1:10" x14ac:dyDescent="0.35">
      <c r="A15" s="90" t="s">
        <v>136</v>
      </c>
    </row>
    <row r="18" spans="1:1" x14ac:dyDescent="0.35">
      <c r="A18" s="90" t="s">
        <v>137</v>
      </c>
    </row>
    <row r="20" spans="1:1" x14ac:dyDescent="0.35">
      <c r="A20" s="90" t="s">
        <v>138</v>
      </c>
    </row>
    <row r="21" spans="1:1" x14ac:dyDescent="0.35">
      <c r="A21" s="90" t="s">
        <v>139</v>
      </c>
    </row>
    <row r="31" spans="1:1" x14ac:dyDescent="0.35">
      <c r="A31" s="90" t="s">
        <v>140</v>
      </c>
    </row>
    <row r="32" spans="1:1" x14ac:dyDescent="0.35">
      <c r="A32" s="90" t="s">
        <v>153</v>
      </c>
    </row>
  </sheetData>
  <pageMargins left="0.75" right="0.75" top="0.75" bottom="0.5" header="0.5" footer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cf1e42-0bdc-47b7-9bac-b56240941932">
      <Terms xmlns="http://schemas.microsoft.com/office/infopath/2007/PartnerControls"/>
    </lcf76f155ced4ddcb4097134ff3c332f>
    <TaxCatchAll xmlns="5baca03e-a08b-4abe-9c35-0197019f122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C37ECB0405384FAE6BDAA837D9DA2D" ma:contentTypeVersion="14" ma:contentTypeDescription="Create a new document." ma:contentTypeScope="" ma:versionID="31b7f1d1978e6d0cc938865a390cc581">
  <xsd:schema xmlns:xsd="http://www.w3.org/2001/XMLSchema" xmlns:xs="http://www.w3.org/2001/XMLSchema" xmlns:p="http://schemas.microsoft.com/office/2006/metadata/properties" xmlns:ns2="77cf1e42-0bdc-47b7-9bac-b56240941932" xmlns:ns3="5baca03e-a08b-4abe-9c35-0197019f1221" targetNamespace="http://schemas.microsoft.com/office/2006/metadata/properties" ma:root="true" ma:fieldsID="1ade880cdd9ba762ed562decfab53479" ns2:_="" ns3:_="">
    <xsd:import namespace="77cf1e42-0bdc-47b7-9bac-b56240941932"/>
    <xsd:import namespace="5baca03e-a08b-4abe-9c35-0197019f1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f1e42-0bdc-47b7-9bac-b56240941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ca03e-a08b-4abe-9c35-0197019f12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8e2e88-8dca-4e1d-8cb7-a9baf7a38b29}" ma:internalName="TaxCatchAll" ma:showField="CatchAllData" ma:web="5baca03e-a08b-4abe-9c35-0197019f1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023383-C6D9-41E0-BBFA-9B4BF231F048}">
  <ds:schemaRefs>
    <ds:schemaRef ds:uri="http://schemas.openxmlformats.org/package/2006/metadata/core-properties"/>
    <ds:schemaRef ds:uri="http://purl.org/dc/elements/1.1/"/>
    <ds:schemaRef ds:uri="5baca03e-a08b-4abe-9c35-0197019f1221"/>
    <ds:schemaRef ds:uri="77cf1e42-0bdc-47b7-9bac-b56240941932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3C4241B-7894-4407-AB3F-8FDC7B6D1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f1e42-0bdc-47b7-9bac-b56240941932"/>
    <ds:schemaRef ds:uri="5baca03e-a08b-4abe-9c35-0197019f12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E8BC28-23B9-4C63-BB85-04A1C27715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8</vt:i4>
      </vt:variant>
      <vt:variant>
        <vt:lpstr>Nimega vahemikud</vt:lpstr>
      </vt:variant>
      <vt:variant>
        <vt:i4>8</vt:i4>
      </vt:variant>
    </vt:vector>
  </HeadingPairs>
  <TitlesOfParts>
    <vt:vector size="16" baseType="lpstr">
      <vt:lpstr>Tarbimisse lubatud</vt:lpstr>
      <vt:lpstr>Tanklate jaemüük</vt:lpstr>
      <vt:lpstr>diislikütus_maakond</vt:lpstr>
      <vt:lpstr>mootoribensiin_maakond</vt:lpstr>
      <vt:lpstr>MTA jaemüük</vt:lpstr>
      <vt:lpstr>MTA koond</vt:lpstr>
      <vt:lpstr>STAT_KE23</vt:lpstr>
      <vt:lpstr>KE0230</vt:lpstr>
      <vt:lpstr>___EE_MYYK_LOPPTARBIJALE___</vt:lpstr>
      <vt:lpstr>'Tanklate jaemüük'!EMTA_kogus</vt:lpstr>
      <vt:lpstr>'Tanklate jaemüük'!Import</vt:lpstr>
      <vt:lpstr>'Tanklate jaemüük'!Prindiala</vt:lpstr>
      <vt:lpstr>'Tarbimisse lubatud'!Prindiala</vt:lpstr>
      <vt:lpstr>'Tanklate jaemüük'!Varu_kogus</vt:lpstr>
      <vt:lpstr>'Tanklate jaemüük'!Varu_Liik</vt:lpstr>
      <vt:lpstr>'Tarbimisse lubatud'!Varu_Liik</vt:lpstr>
    </vt:vector>
  </TitlesOfParts>
  <Manager/>
  <Company>OSPA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Gea-PC</dc:creator>
  <cp:keywords/>
  <dc:description/>
  <cp:lastModifiedBy>Katrin Luhaäär - EVK</cp:lastModifiedBy>
  <cp:revision/>
  <cp:lastPrinted>2025-02-05T08:33:38Z</cp:lastPrinted>
  <dcterms:created xsi:type="dcterms:W3CDTF">2009-03-17T09:35:14Z</dcterms:created>
  <dcterms:modified xsi:type="dcterms:W3CDTF">2026-09-08T06:43:46Z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0x0101005BC37ECB0405384FAE6BDAA837D9DA2D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2024-08-30T10:32:11Z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d3f5316e-597c-4129-a385-75de63bd8063</vt:lpwstr>
  </property>
  <property fmtid="{D5CDD505-2E9C-101B-9397-08002B2CF9AE}" pid="11" name="MSIP_Label_defa4170-0d19-0005-0004-bc88714345d2_ContentBits">
    <vt:lpwstr>0</vt:lpwstr>
  </property>
</Properties>
</file>